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hidePivotFieldList="1" defaultThemeVersion="124226"/>
  <mc:AlternateContent xmlns:mc="http://schemas.openxmlformats.org/markup-compatibility/2006">
    <mc:Choice Requires="x15">
      <x15ac:absPath xmlns:x15ac="http://schemas.microsoft.com/office/spreadsheetml/2010/11/ac" url="X:\CERTIFICATION\ACCREDITATION\System Documentation\Procedures\Questionaire\"/>
    </mc:Choice>
  </mc:AlternateContent>
  <bookViews>
    <workbookView xWindow="480" yWindow="120" windowWidth="7995" windowHeight="5385" tabRatio="717"/>
  </bookViews>
  <sheets>
    <sheet name="Stammdaten" sheetId="1" r:id="rId1"/>
    <sheet name="Standortliste" sheetId="23" r:id="rId2"/>
    <sheet name="Auditteam" sheetId="14" state="veryHidden" r:id="rId3"/>
    <sheet name="Zertifizierungsstruktur" sheetId="35" state="veryHidden" r:id="rId4"/>
    <sheet name="Upgrade2016" sheetId="44" state="veryHidden" r:id="rId5"/>
    <sheet name="Addition" sheetId="45" state="veryHidden" r:id="rId6"/>
    <sheet name="Bemerkungen" sheetId="6" r:id="rId7"/>
    <sheet name="TB-TA" sheetId="32" state="hidden" r:id="rId8"/>
    <sheet name="Daten" sheetId="12" state="veryHidden" r:id="rId9"/>
    <sheet name="CBList" sheetId="43" state="veryHidden" r:id="rId10"/>
  </sheets>
  <definedNames>
    <definedName name="_xlnm._FilterDatabase" localSheetId="9">CBList!$B$2:$I$83</definedName>
    <definedName name="A1_1">Daten!$AE$2</definedName>
    <definedName name="A1_2">Daten!$AE$3</definedName>
    <definedName name="A1_3">Daten!$AE$4</definedName>
    <definedName name="A2_1">Daten!$AF$2</definedName>
    <definedName name="A2_2">Daten!$AF$3</definedName>
    <definedName name="A2_3">Daten!$AF$4</definedName>
    <definedName name="A3_1">Daten!$AG$2</definedName>
    <definedName name="A3_2">Daten!$AG$3</definedName>
    <definedName name="A3_3">Daten!$AG$4</definedName>
    <definedName name="ActualCB">Stammdaten!$E$83</definedName>
    <definedName name="Addition1">Stammdaten!$K$52</definedName>
    <definedName name="Addition2">Stammdaten!$K$53</definedName>
    <definedName name="Addition3">Stammdaten!$K$54</definedName>
    <definedName name="AkkStatus">CBList!$C$1</definedName>
    <definedName name="Angepasst">Daten!$AL$3</definedName>
    <definedName name="Ansprechpartner">Stammdaten!$B$23</definedName>
    <definedName name="Appr145_1">Addition!$C$9</definedName>
    <definedName name="Appr145_2">Addition!$E$9</definedName>
    <definedName name="Appr145_3">Addition!$G$9</definedName>
    <definedName name="Appr21_1">Addition!$C$7</definedName>
    <definedName name="Appr21_2">Addition!$E$7</definedName>
    <definedName name="Appr21_3">Addition!$G$7</definedName>
    <definedName name="Appr21G_1">Addition!$C$8</definedName>
    <definedName name="Appr21G_2">Addition!$E$8</definedName>
    <definedName name="Appr21G_3">Addition!$G$8</definedName>
    <definedName name="ARD">Upgrade2016!$C$8</definedName>
    <definedName name="Art">Daten!$U$2:$U$3</definedName>
    <definedName name="ArtKomplett">Daten!$C$7:$C$7</definedName>
    <definedName name="ArtStandorte">Daten!$AR$4:$AR$5</definedName>
    <definedName name="ArtTransfer">Daten!$U$4:$U$7</definedName>
    <definedName name="Auditart1">Stammdaten!$C$72</definedName>
    <definedName name="Auditart2">Stammdaten!$C$73</definedName>
    <definedName name="Auditart3">Stammdaten!$C$74</definedName>
    <definedName name="AuditArtenListe">Daten!$I$9:$I$12</definedName>
    <definedName name="AuditartISO">Stammdaten!$C$75</definedName>
    <definedName name="Auditauswahl">Daten!$H$9:$I$11</definedName>
    <definedName name="Auditsprache">Stammdaten!$C$36</definedName>
    <definedName name="Auditteamleiter">Auditteam!$C$7</definedName>
    <definedName name="AuditteamleiterEAC">Auditteam!$M$7</definedName>
    <definedName name="Auftragsverantwortlich">Auditteam!$C$6</definedName>
    <definedName name="Ausfüllanleitung">Daten!$W$2</definedName>
    <definedName name="Ausschluss">Daten!$C$2:$C$3</definedName>
    <definedName name="Ausschluss1">Stammdaten!$D$72</definedName>
    <definedName name="Ausschluss2">Stammdaten!$D$73</definedName>
    <definedName name="Ausschluss3">Stammdaten!$D$74</definedName>
    <definedName name="AusschlussISO">Stammdaten!$D$75</definedName>
    <definedName name="AuswahlArtKunde">Stammdaten!$K$5</definedName>
    <definedName name="Beobachter1">Auditteam!$C$13</definedName>
    <definedName name="Beobachter2">Auditteam!$C$14</definedName>
    <definedName name="Berater">Stammdaten!$C$31</definedName>
    <definedName name="Bestätigt">Daten!$AL$2</definedName>
    <definedName name="Campus">Daten!$H$4</definedName>
    <definedName name="CatA__001">Standortliste!$Z$22</definedName>
    <definedName name="CatA__002">Standortliste!$Z$23</definedName>
    <definedName name="CatA__003">Standortliste!$Z$24</definedName>
    <definedName name="CatA__004">Standortliste!$Z$25</definedName>
    <definedName name="CatA__005">Standortliste!$Z$26</definedName>
    <definedName name="CatA__006">Standortliste!$Z$27</definedName>
    <definedName name="CatA__007">Standortliste!$Z$28</definedName>
    <definedName name="CatA__008">Standortliste!$Z$29</definedName>
    <definedName name="CatA__009">Standortliste!$Z$30</definedName>
    <definedName name="CatA__010">Standortliste!$Z$31</definedName>
    <definedName name="CatA__011">Standortliste!$Z$32</definedName>
    <definedName name="CatA__012">Standortliste!$Z$33</definedName>
    <definedName name="CatA__013">Standortliste!$Z$34</definedName>
    <definedName name="CatA__014">Standortliste!$Z$35</definedName>
    <definedName name="CatA__015">Standortliste!$Z$36</definedName>
    <definedName name="CatA__016">Standortliste!$Z$37</definedName>
    <definedName name="CatA__017">Standortliste!$Z$38</definedName>
    <definedName name="CatA__018">Standortliste!$Z$39</definedName>
    <definedName name="CatA__019">Standortliste!$Z$40</definedName>
    <definedName name="CatA__020">Standortliste!$Z$41</definedName>
    <definedName name="CatA__021">Standortliste!$Z$42</definedName>
    <definedName name="CatA__022">Standortliste!$Z$43</definedName>
    <definedName name="CatA__023">Standortliste!$Z$44</definedName>
    <definedName name="CatA__024">Standortliste!$Z$45</definedName>
    <definedName name="CatA__025">Standortliste!$Z$46</definedName>
    <definedName name="CatA__026">Standortliste!$Z$47</definedName>
    <definedName name="CatA__027">Standortliste!$Z$48</definedName>
    <definedName name="CatA__028">Standortliste!$Z$49</definedName>
    <definedName name="CatA__029">Standortliste!$Z$50</definedName>
    <definedName name="CatA__030">Standortliste!$Z$51</definedName>
    <definedName name="CatA__031">Standortliste!$Z$52</definedName>
    <definedName name="CatA__032">Standortliste!$Z$53</definedName>
    <definedName name="CatA__033">Standortliste!$Z$54</definedName>
    <definedName name="CatA__034">Standortliste!$Z$55</definedName>
    <definedName name="CatA__035">Standortliste!$Z$56</definedName>
    <definedName name="CatA__036">Standortliste!$Z$57</definedName>
    <definedName name="CatA__037">Standortliste!$Z$58</definedName>
    <definedName name="CatA__038">Standortliste!$Z$59</definedName>
    <definedName name="CatA__039">Standortliste!$Z$60</definedName>
    <definedName name="CatA__040">Standortliste!$Z$61</definedName>
    <definedName name="CatA__041">Standortliste!$Z$62</definedName>
    <definedName name="CatA__042">Standortliste!$Z$63</definedName>
    <definedName name="CatA__043">Standortliste!$Z$64</definedName>
    <definedName name="CatA__044">Standortliste!$Z$65</definedName>
    <definedName name="CatA__045">Standortliste!$Z$66</definedName>
    <definedName name="CatA__046">Standortliste!$Z$67</definedName>
    <definedName name="CatA__047">Standortliste!$Z$68</definedName>
    <definedName name="CatA__048">Standortliste!$Z$69</definedName>
    <definedName name="CatA__049">Standortliste!$Z$70</definedName>
    <definedName name="CatA__050">Standortliste!$Z$71</definedName>
    <definedName name="CatA__051">Standortliste!$Z$72</definedName>
    <definedName name="CatB__001">Standortliste!$AA$22</definedName>
    <definedName name="CatB__002">Standortliste!$AA$23</definedName>
    <definedName name="CatB__003">Standortliste!$AA$24</definedName>
    <definedName name="CatB__004">Standortliste!$AA$25</definedName>
    <definedName name="CatB__005">Standortliste!$AA$26</definedName>
    <definedName name="CatB__006">Standortliste!$AA$27</definedName>
    <definedName name="CatB__007">Standortliste!$AA$28</definedName>
    <definedName name="CatB__008">Standortliste!$AA$29</definedName>
    <definedName name="CatB__009">Standortliste!$AA$30</definedName>
    <definedName name="CatB__010">Standortliste!$AA$31</definedName>
    <definedName name="CatB__011">Standortliste!$AA$32</definedName>
    <definedName name="CatB__012">Standortliste!$AA$33</definedName>
    <definedName name="CatB__013">Standortliste!$AA$34</definedName>
    <definedName name="CatB__014">Standortliste!$AA$35</definedName>
    <definedName name="CatB__015">Standortliste!$AA$36</definedName>
    <definedName name="CatB__016">Standortliste!$AA$37</definedName>
    <definedName name="CatB__017">Standortliste!$AA$38</definedName>
    <definedName name="CatB__018">Standortliste!$AA$39</definedName>
    <definedName name="CatB__019">Standortliste!$AA$40</definedName>
    <definedName name="CatB__020">Standortliste!$AA$41</definedName>
    <definedName name="CatB__021">Standortliste!$AA$42</definedName>
    <definedName name="CatB__022">Standortliste!$AA$43</definedName>
    <definedName name="CatB__023">Standortliste!$AA$44</definedName>
    <definedName name="CatB__024">Standortliste!$AA$45</definedName>
    <definedName name="CatB__025">Standortliste!$AA$46</definedName>
    <definedName name="CatB__026">Standortliste!$AA$47</definedName>
    <definedName name="CatB__027">Standortliste!$AA$48</definedName>
    <definedName name="CatB__028">Standortliste!$AA$49</definedName>
    <definedName name="CatB__029">Standortliste!$AA$50</definedName>
    <definedName name="CatB__030">Standortliste!$AA$51</definedName>
    <definedName name="CatB__031">Standortliste!$AA$52</definedName>
    <definedName name="CatB__032">Standortliste!$AA$53</definedName>
    <definedName name="CatB__033">Standortliste!$AA$54</definedName>
    <definedName name="CatB__034">Standortliste!$AA$55</definedName>
    <definedName name="CatB__035">Standortliste!$AA$56</definedName>
    <definedName name="CatB__036">Standortliste!$AA$57</definedName>
    <definedName name="CatB__037">Standortliste!$AA$58</definedName>
    <definedName name="CatB__038">Standortliste!$AA$59</definedName>
    <definedName name="CatB__039">Standortliste!$AA$60</definedName>
    <definedName name="CatB__040">Standortliste!$AA$61</definedName>
    <definedName name="CatB__041">Standortliste!$AA$62</definedName>
    <definedName name="CatB__042">Standortliste!$AA$63</definedName>
    <definedName name="CatB__043">Standortliste!$AA$64</definedName>
    <definedName name="CatB__044">Standortliste!$AA$65</definedName>
    <definedName name="CatB__045">Standortliste!$AA$66</definedName>
    <definedName name="CatB__046">Standortliste!$AA$67</definedName>
    <definedName name="CatB__047">Standortliste!$AA$68</definedName>
    <definedName name="CatB__048">Standortliste!$AA$69</definedName>
    <definedName name="CatB__049">Standortliste!$AA$70</definedName>
    <definedName name="CatB__050">Standortliste!$AA$71</definedName>
    <definedName name="CatB__051">Standortliste!$AA$72</definedName>
    <definedName name="CatC__001">Standortliste!$AB$22</definedName>
    <definedName name="CatC__002">Standortliste!$AB$23</definedName>
    <definedName name="CatC__003">Standortliste!$AB$24</definedName>
    <definedName name="CatC__004">Standortliste!$AB$25</definedName>
    <definedName name="CatC__005">Standortliste!$AB$26</definedName>
    <definedName name="CatC__006">Standortliste!$AB$27</definedName>
    <definedName name="CatC__007">Standortliste!$AB$28</definedName>
    <definedName name="CatC__008">Standortliste!$AB$29</definedName>
    <definedName name="CatC__009">Standortliste!$AB$30</definedName>
    <definedName name="CatC__010">Standortliste!$AB$31</definedName>
    <definedName name="CatC__011">Standortliste!$AB$32</definedName>
    <definedName name="CatC__012">Standortliste!$AB$33</definedName>
    <definedName name="CatC__013">Standortliste!$AB$34</definedName>
    <definedName name="CatC__014">Standortliste!$AB$35</definedName>
    <definedName name="CatC__015">Standortliste!$AB$36</definedName>
    <definedName name="CatC__016">Standortliste!$AB$37</definedName>
    <definedName name="CatC__017">Standortliste!$AB$38</definedName>
    <definedName name="CatC__018">Standortliste!$AB$39</definedName>
    <definedName name="CatC__019">Standortliste!$AB$40</definedName>
    <definedName name="CatC__020">Standortliste!$AB$41</definedName>
    <definedName name="CatC__021">Standortliste!$AB$42</definedName>
    <definedName name="CatC__022">Standortliste!$AB$43</definedName>
    <definedName name="CatC__023">Standortliste!$AB$44</definedName>
    <definedName name="CatC__024">Standortliste!$AB$45</definedName>
    <definedName name="CatC__025">Standortliste!$AB$46</definedName>
    <definedName name="CatC__026">Standortliste!$AB$47</definedName>
    <definedName name="CatC__027">Standortliste!$AB$48</definedName>
    <definedName name="CatC__028">Standortliste!$AB$49</definedName>
    <definedName name="CatC__029">Standortliste!$AB$50</definedName>
    <definedName name="CatC__030">Standortliste!$AB$51</definedName>
    <definedName name="CatC__031">Standortliste!$AB$52</definedName>
    <definedName name="CatC__032">Standortliste!$AB$53</definedName>
    <definedName name="CatC__033">Standortliste!$AB$54</definedName>
    <definedName name="CatC__034">Standortliste!$AB$55</definedName>
    <definedName name="CatC__035">Standortliste!$AB$56</definedName>
    <definedName name="CatC__036">Standortliste!$AB$57</definedName>
    <definedName name="CatC__037">Standortliste!$AB$58</definedName>
    <definedName name="CatC__038">Standortliste!$AB$59</definedName>
    <definedName name="CatC__039">Standortliste!$AB$60</definedName>
    <definedName name="CatC__040">Standortliste!$AB$61</definedName>
    <definedName name="CatC__041">Standortliste!$AB$62</definedName>
    <definedName name="CatC__042">Standortliste!$AB$63</definedName>
    <definedName name="CatC__043">Standortliste!$AB$64</definedName>
    <definedName name="CatC__044">Standortliste!$AB$65</definedName>
    <definedName name="CatC__045">Standortliste!$AB$66</definedName>
    <definedName name="CatC__046">Standortliste!$AB$67</definedName>
    <definedName name="CatC__047">Standortliste!$AB$68</definedName>
    <definedName name="CatC__048">Standortliste!$AB$69</definedName>
    <definedName name="CatC__049">Standortliste!$AB$70</definedName>
    <definedName name="CatC__050">Standortliste!$AB$71</definedName>
    <definedName name="CatC__051">Standortliste!$AB$72</definedName>
    <definedName name="CatD__001">Standortliste!$AC$22</definedName>
    <definedName name="CatD__002">Standortliste!$AC$23</definedName>
    <definedName name="CatD__003">Standortliste!$AC$24</definedName>
    <definedName name="CatD__004">Standortliste!$AC$25</definedName>
    <definedName name="CatD__005">Standortliste!$AC$26</definedName>
    <definedName name="CatD__006">Standortliste!$AC$27</definedName>
    <definedName name="CatD__007">Standortliste!$AC$28</definedName>
    <definedName name="CatD__008">Standortliste!$AC$29</definedName>
    <definedName name="CatD__009">Standortliste!$AC$30</definedName>
    <definedName name="CatD__010">Standortliste!$AC$31</definedName>
    <definedName name="CatD__011">Standortliste!$AC$32</definedName>
    <definedName name="CatD__012">Standortliste!$AC$33</definedName>
    <definedName name="CatD__013">Standortliste!$AC$34</definedName>
    <definedName name="CatD__014">Standortliste!$AC$35</definedName>
    <definedName name="CatD__015">Standortliste!$AC$36</definedName>
    <definedName name="CatD__016">Standortliste!$AC$37</definedName>
    <definedName name="CatD__017">Standortliste!$AC$38</definedName>
    <definedName name="CatD__018">Standortliste!$AC$39</definedName>
    <definedName name="CatD__019">Standortliste!$AC$40</definedName>
    <definedName name="CatD__020">Standortliste!$AC$41</definedName>
    <definedName name="CatD__021">Standortliste!$AC$42</definedName>
    <definedName name="CatD__022">Standortliste!$AC$43</definedName>
    <definedName name="CatD__023">Standortliste!$AC$44</definedName>
    <definedName name="CatD__024">Standortliste!$AC$45</definedName>
    <definedName name="CatD__025">Standortliste!$AC$46</definedName>
    <definedName name="CatD__026">Standortliste!$AC$47</definedName>
    <definedName name="CatD__027">Standortliste!$AC$48</definedName>
    <definedName name="CatD__028">Standortliste!$AC$49</definedName>
    <definedName name="CatD__029">Standortliste!$AC$50</definedName>
    <definedName name="CatD__030">Standortliste!$AC$51</definedName>
    <definedName name="CatD__031">Standortliste!$AC$52</definedName>
    <definedName name="CatD__032">Standortliste!$AC$53</definedName>
    <definedName name="CatD__033">Standortliste!$AC$54</definedName>
    <definedName name="CatD__034">Standortliste!$AC$55</definedName>
    <definedName name="CatD__035">Standortliste!$AC$56</definedName>
    <definedName name="CatD__036">Standortliste!$AC$57</definedName>
    <definedName name="CatD__037">Standortliste!$AC$58</definedName>
    <definedName name="CatD__038">Standortliste!$AC$59</definedName>
    <definedName name="CatD__039">Standortliste!$AC$60</definedName>
    <definedName name="CatD__040">Standortliste!$AC$61</definedName>
    <definedName name="CatD__041">Standortliste!$AC$62</definedName>
    <definedName name="CatD__042">Standortliste!$AC$63</definedName>
    <definedName name="CatD__043">Standortliste!$AC$64</definedName>
    <definedName name="CatD__044">Standortliste!$AC$65</definedName>
    <definedName name="CatD__045">Standortliste!$AC$66</definedName>
    <definedName name="CatD__046">Standortliste!$AC$67</definedName>
    <definedName name="CatD__047">Standortliste!$AC$68</definedName>
    <definedName name="CatD__048">Standortliste!$AC$69</definedName>
    <definedName name="CatD__049">Standortliste!$AC$70</definedName>
    <definedName name="CatD__050">Standortliste!$AC$71</definedName>
    <definedName name="CatD__051">Standortliste!$AC$72</definedName>
    <definedName name="CatE__001">Standortliste!$AD$22</definedName>
    <definedName name="CatE__002">Standortliste!$AD$23</definedName>
    <definedName name="CatE__003">Standortliste!$AD$24</definedName>
    <definedName name="CatE__004">Standortliste!$AD$25</definedName>
    <definedName name="CatE__005">Standortliste!$AD$26</definedName>
    <definedName name="CatE__006">Standortliste!$AD$27</definedName>
    <definedName name="CatE__007">Standortliste!$AD$28</definedName>
    <definedName name="CatE__008">Standortliste!$AD$29</definedName>
    <definedName name="CatE__009">Standortliste!$AD$30</definedName>
    <definedName name="CatE__010">Standortliste!$AD$31</definedName>
    <definedName name="CatE__011">Standortliste!$AD$32</definedName>
    <definedName name="CatE__012">Standortliste!$AD$33</definedName>
    <definedName name="CatE__013">Standortliste!$AD$34</definedName>
    <definedName name="CatE__014">Standortliste!$AD$35</definedName>
    <definedName name="CatE__015">Standortliste!$AD$36</definedName>
    <definedName name="CatE__016">Standortliste!$AD$37</definedName>
    <definedName name="CatE__017">Standortliste!$AD$38</definedName>
    <definedName name="CatE__018">Standortliste!$AD$39</definedName>
    <definedName name="CatE__019">Standortliste!$AD$40</definedName>
    <definedName name="CatE__020">Standortliste!$AD$41</definedName>
    <definedName name="CatE__021">Standortliste!$AD$42</definedName>
    <definedName name="CatE__022">Standortliste!$AD$43</definedName>
    <definedName name="CatE__023">Standortliste!$AD$44</definedName>
    <definedName name="CatE__024">Standortliste!$AD$45</definedName>
    <definedName name="CatE__025">Standortliste!$AD$46</definedName>
    <definedName name="CatE__026">Standortliste!$AD$47</definedName>
    <definedName name="CatE__027">Standortliste!$AD$48</definedName>
    <definedName name="CatE__028">Standortliste!$AD$49</definedName>
    <definedName name="CatE__029">Standortliste!$AD$50</definedName>
    <definedName name="CatE__030">Standortliste!$AD$51</definedName>
    <definedName name="CatE__031">Standortliste!$AD$52</definedName>
    <definedName name="CatE__032">Standortliste!$AD$53</definedName>
    <definedName name="CatE__033">Standortliste!$AD$54</definedName>
    <definedName name="CatE__034">Standortliste!$AD$55</definedName>
    <definedName name="CatE__035">Standortliste!$AD$56</definedName>
    <definedName name="CatE__036">Standortliste!$AD$57</definedName>
    <definedName name="CatE__037">Standortliste!$AD$58</definedName>
    <definedName name="CatE__038">Standortliste!$AD$59</definedName>
    <definedName name="CatE__039">Standortliste!$AD$60</definedName>
    <definedName name="CatE__040">Standortliste!$AD$61</definedName>
    <definedName name="CatE__041">Standortliste!$AD$62</definedName>
    <definedName name="CatE__042">Standortliste!$AD$63</definedName>
    <definedName name="CatE__043">Standortliste!$AD$64</definedName>
    <definedName name="CatE__044">Standortliste!$AD$65</definedName>
    <definedName name="CatE__045">Standortliste!$AD$66</definedName>
    <definedName name="CatE__046">Standortliste!$AD$67</definedName>
    <definedName name="CatE__047">Standortliste!$AD$68</definedName>
    <definedName name="CatE__048">Standortliste!$AD$69</definedName>
    <definedName name="CatE__049">Standortliste!$AD$70</definedName>
    <definedName name="CatE__050">Standortliste!$AD$71</definedName>
    <definedName name="CatE__051">Standortliste!$AD$72</definedName>
    <definedName name="CBListe">CBList!$A$3:$I$86</definedName>
    <definedName name="CBNames">CBList!$A$3:$A$86</definedName>
    <definedName name="Cmplx_1">Addition!$C$10</definedName>
    <definedName name="Cmplx_2">Addition!$E$10</definedName>
    <definedName name="Cmplx_3">Addition!$G$10</definedName>
    <definedName name="CoAuditor1">Auditteam!$C$8</definedName>
    <definedName name="CoAuditor1EAC">Auditteam!$M$8</definedName>
    <definedName name="CoAuditor2">Auditteam!$C$9</definedName>
    <definedName name="CoAuditor2EAC">Auditteam!$M$9</definedName>
    <definedName name="CoAuditor3">Auditteam!$C$10</definedName>
    <definedName name="CoAuditor3EAC">Auditteam!$M$10</definedName>
    <definedName name="Complex">Daten!$H$6</definedName>
    <definedName name="Complex__001">Standortliste!$D$22</definedName>
    <definedName name="Complex__002">Standortliste!$D$23</definedName>
    <definedName name="Complex__003">Standortliste!$D$24</definedName>
    <definedName name="Complex__004">Standortliste!$D$25</definedName>
    <definedName name="Complex__005">Standortliste!$D$26</definedName>
    <definedName name="Complex__006">Standortliste!$D$27</definedName>
    <definedName name="Complex__007">Standortliste!$D$28</definedName>
    <definedName name="Complex__008">Standortliste!$D$29</definedName>
    <definedName name="Complex__009">Standortliste!$D$30</definedName>
    <definedName name="Complex__010">Standortliste!$D$31</definedName>
    <definedName name="Complex__011">Standortliste!$D$32</definedName>
    <definedName name="Complex__012">Standortliste!$D$33</definedName>
    <definedName name="Complex__013">Standortliste!$D$34</definedName>
    <definedName name="Complex__014">Standortliste!$D$35</definedName>
    <definedName name="Complex__015">Standortliste!$D$36</definedName>
    <definedName name="Complex__016">Standortliste!$D$37</definedName>
    <definedName name="Complex__017">Standortliste!$D$38</definedName>
    <definedName name="Complex__018">Standortliste!$D$39</definedName>
    <definedName name="Complex__019">Standortliste!$D$40</definedName>
    <definedName name="Complex__020">Standortliste!$D$41</definedName>
    <definedName name="Complex__021">Standortliste!$D$42</definedName>
    <definedName name="Complex__022">Standortliste!$D$43</definedName>
    <definedName name="Complex__023">Standortliste!$D$44</definedName>
    <definedName name="Complex__024">Standortliste!$D$45</definedName>
    <definedName name="Complex__025">Standortliste!$D$46</definedName>
    <definedName name="Complex__026">Standortliste!$D$47</definedName>
    <definedName name="Complex__027">Standortliste!$D$48</definedName>
    <definedName name="Complex__028">Standortliste!$D$49</definedName>
    <definedName name="Complex__029">Standortliste!$D$50</definedName>
    <definedName name="Complex__030">Standortliste!$D$51</definedName>
    <definedName name="Complex__031">Standortliste!$D$52</definedName>
    <definedName name="Complex__032">Standortliste!$D$53</definedName>
    <definedName name="Complex__033">Standortliste!$D$54</definedName>
    <definedName name="Complex__034">Standortliste!$D$55</definedName>
    <definedName name="Complex__035">Standortliste!$D$56</definedName>
    <definedName name="Complex__036">Standortliste!$D$57</definedName>
    <definedName name="Complex__037">Standortliste!$D$58</definedName>
    <definedName name="Complex__038">Standortliste!$D$59</definedName>
    <definedName name="Complex__039">Standortliste!$D$60</definedName>
    <definedName name="Complex__040">Standortliste!$D$61</definedName>
    <definedName name="Complex__041">Standortliste!$D$62</definedName>
    <definedName name="Complex__042">Standortliste!$D$63</definedName>
    <definedName name="Complex__043">Standortliste!$D$64</definedName>
    <definedName name="Complex__044">Standortliste!$D$65</definedName>
    <definedName name="Complex__045">Standortliste!$D$66</definedName>
    <definedName name="Complex__046">Standortliste!$D$67</definedName>
    <definedName name="Complex__047">Standortliste!$D$68</definedName>
    <definedName name="Complex__048">Standortliste!$D$69</definedName>
    <definedName name="Complex__049">Standortliste!$D$70</definedName>
    <definedName name="Complex__050">Standortliste!$D$71</definedName>
    <definedName name="Complex__051">Standortliste!$D$72</definedName>
    <definedName name="ConsiderUpgrade">Upgrade2016!$C$6</definedName>
    <definedName name="DatumStruktur">Zertifizierungsstruktur!$D$49</definedName>
    <definedName name="DE">Daten!$S$5</definedName>
    <definedName name="DesignDefault">Standortliste!$U$6</definedName>
    <definedName name="Deutsch">Daten!$AV$23</definedName>
    <definedName name="Dolmetsch__001">Standortliste!$AG$22</definedName>
    <definedName name="Dolmetsch__002">Standortliste!$AG$23</definedName>
    <definedName name="Dolmetsch__003">Standortliste!$AG$24</definedName>
    <definedName name="Dolmetsch__004">Standortliste!$AG$25</definedName>
    <definedName name="Dolmetsch__005">Standortliste!$AG$26</definedName>
    <definedName name="Dolmetsch__006">Standortliste!$AG$27</definedName>
    <definedName name="Dolmetsch__007">Standortliste!$AG$28</definedName>
    <definedName name="Dolmetsch__008">Standortliste!$AG$29</definedName>
    <definedName name="Dolmetsch__009">Standortliste!$AG$30</definedName>
    <definedName name="Dolmetsch__010">Standortliste!$AG$31</definedName>
    <definedName name="Dolmetsch__011">Standortliste!$AG$32</definedName>
    <definedName name="Dolmetsch__012">Standortliste!$AG$33</definedName>
    <definedName name="Dolmetsch__013">Standortliste!$AG$34</definedName>
    <definedName name="Dolmetsch__014">Standortliste!$AG$35</definedName>
    <definedName name="Dolmetsch__015">Standortliste!$AG$36</definedName>
    <definedName name="Dolmetsch__016">Standortliste!$AG$37</definedName>
    <definedName name="Dolmetsch__017">Standortliste!$AG$38</definedName>
    <definedName name="Dolmetsch__018">Standortliste!$AG$39</definedName>
    <definedName name="Dolmetsch__019">Standortliste!$AG$40</definedName>
    <definedName name="Dolmetsch__020">Standortliste!$AG$41</definedName>
    <definedName name="Dolmetsch__021">Standortliste!$AG$42</definedName>
    <definedName name="Dolmetsch__022">Standortliste!$AG$43</definedName>
    <definedName name="Dolmetsch__023">Standortliste!$AG$44</definedName>
    <definedName name="Dolmetsch__024">Standortliste!$AG$45</definedName>
    <definedName name="Dolmetsch__025">Standortliste!$AG$46</definedName>
    <definedName name="Dolmetsch__026">Standortliste!$AG$47</definedName>
    <definedName name="Dolmetsch__027">Standortliste!$AG$48</definedName>
    <definedName name="Dolmetsch__028">Standortliste!$AG$49</definedName>
    <definedName name="Dolmetsch__029">Standortliste!$AG$50</definedName>
    <definedName name="Dolmetsch__030">Standortliste!$AG$51</definedName>
    <definedName name="Dolmetsch__031">Standortliste!$AG$52</definedName>
    <definedName name="Dolmetsch__032">Standortliste!$AG$53</definedName>
    <definedName name="Dolmetsch__033">Standortliste!$AG$54</definedName>
    <definedName name="Dolmetsch__034">Standortliste!$AG$55</definedName>
    <definedName name="Dolmetsch__035">Standortliste!$AG$56</definedName>
    <definedName name="Dolmetsch__036">Standortliste!$AG$57</definedName>
    <definedName name="Dolmetsch__037">Standortliste!$AG$58</definedName>
    <definedName name="Dolmetsch__038">Standortliste!$AG$59</definedName>
    <definedName name="Dolmetsch__039">Standortliste!$AG$60</definedName>
    <definedName name="Dolmetsch__040">Standortliste!$AG$61</definedName>
    <definedName name="Dolmetsch__041">Standortliste!$AG$62</definedName>
    <definedName name="Dolmetsch__042">Standortliste!$AG$63</definedName>
    <definedName name="Dolmetsch__043">Standortliste!$AG$64</definedName>
    <definedName name="Dolmetsch__044">Standortliste!$AG$65</definedName>
    <definedName name="Dolmetsch__045">Standortliste!$AG$66</definedName>
    <definedName name="Dolmetsch__046">Standortliste!$AG$67</definedName>
    <definedName name="Dolmetsch__047">Standortliste!$AG$68</definedName>
    <definedName name="Dolmetsch__048">Standortliste!$AG$69</definedName>
    <definedName name="Dolmetsch__049">Standortliste!$AG$70</definedName>
    <definedName name="Dolmetsch__050">Standortliste!$AG$71</definedName>
    <definedName name="Dolmetsch__051">Standortliste!$AG$72</definedName>
    <definedName name="DolmetscherJa">Stammdaten!$H$37</definedName>
    <definedName name="DurVerCAR_1">Addition!$C$26</definedName>
    <definedName name="DurVerCAR_2">Addition!$E$26</definedName>
    <definedName name="DurVerCAR_3">Addition!$G$26</definedName>
    <definedName name="EAC_1">Stammdaten!$C$19</definedName>
    <definedName name="EAC_2">Stammdaten!$D$19</definedName>
    <definedName name="EAC_3">Stammdaten!$E$19</definedName>
    <definedName name="EACListe">Stammdaten!$C$21</definedName>
    <definedName name="Einzelstandard">Daten!$L$2</definedName>
    <definedName name="EMail">Stammdaten!$I$25</definedName>
    <definedName name="Empty">Daten!$AY$5</definedName>
    <definedName name="EN">Daten!$S$3</definedName>
    <definedName name="EN9100_001">Standortliste!$AI$22</definedName>
    <definedName name="EN9100_002">Standortliste!$AI$23</definedName>
    <definedName name="EN9100_003">Standortliste!$AI$24</definedName>
    <definedName name="EN9100_004">Standortliste!$AI$25</definedName>
    <definedName name="EN9100_005">Standortliste!$AI$26</definedName>
    <definedName name="EN9100_006">Standortliste!$AI$27</definedName>
    <definedName name="EN9100_007">Standortliste!$AI$28</definedName>
    <definedName name="EN9100_008">Standortliste!$AI$29</definedName>
    <definedName name="EN9100_009">Standortliste!$AI$30</definedName>
    <definedName name="EN9100_010">Standortliste!$AI$31</definedName>
    <definedName name="EN9100_011">Standortliste!$AI$32</definedName>
    <definedName name="EN9100_012">Standortliste!$AI$33</definedName>
    <definedName name="EN9100_013">Standortliste!$AI$34</definedName>
    <definedName name="EN9100_014">Standortliste!$AI$35</definedName>
    <definedName name="EN9100_015">Standortliste!$AI$36</definedName>
    <definedName name="EN9100_016">Standortliste!$AI$37</definedName>
    <definedName name="EN9100_017">Standortliste!$AI$38</definedName>
    <definedName name="EN9100_018">Standortliste!$AI$39</definedName>
    <definedName name="EN9100_019">Standortliste!$AI$40</definedName>
    <definedName name="EN9100_020">Standortliste!$AI$41</definedName>
    <definedName name="EN9100_021">Standortliste!$AI$42</definedName>
    <definedName name="EN9100_022">Standortliste!$AI$43</definedName>
    <definedName name="EN9100_023">Standortliste!$AI$44</definedName>
    <definedName name="EN9100_024">Standortliste!$AI$45</definedName>
    <definedName name="EN9100_025">Standortliste!$AI$46</definedName>
    <definedName name="EN9100_026">Standortliste!$AI$47</definedName>
    <definedName name="EN9100_027">Standortliste!$AI$48</definedName>
    <definedName name="EN9100_028">Standortliste!$AI$49</definedName>
    <definedName name="EN9100_029">Standortliste!$AI$50</definedName>
    <definedName name="EN9100_030">Standortliste!$AI$51</definedName>
    <definedName name="EN9100_031">Standortliste!$AI$52</definedName>
    <definedName name="EN9100_032">Standortliste!$AI$53</definedName>
    <definedName name="EN9100_033">Standortliste!$AI$54</definedName>
    <definedName name="EN9100_034">Standortliste!$AI$55</definedName>
    <definedName name="EN9100_035">Standortliste!$AI$56</definedName>
    <definedName name="EN9100_036">Standortliste!$AI$57</definedName>
    <definedName name="EN9100_037">Standortliste!$AI$58</definedName>
    <definedName name="EN9100_038">Standortliste!$AI$59</definedName>
    <definedName name="EN9100_039">Standortliste!$AI$60</definedName>
    <definedName name="EN9100_040">Standortliste!$AI$61</definedName>
    <definedName name="EN9100_041">Standortliste!$AI$62</definedName>
    <definedName name="EN9100_042">Standortliste!$AI$63</definedName>
    <definedName name="EN9100_043">Standortliste!$AI$64</definedName>
    <definedName name="EN9100_044">Standortliste!$AI$65</definedName>
    <definedName name="EN9100_045">Standortliste!$AI$66</definedName>
    <definedName name="EN9100_046">Standortliste!$AI$67</definedName>
    <definedName name="EN9100_047">Standortliste!$AI$68</definedName>
    <definedName name="EN9100_048">Standortliste!$AI$69</definedName>
    <definedName name="EN9100_049">Standortliste!$AI$70</definedName>
    <definedName name="EN9100_050">Standortliste!$AI$71</definedName>
    <definedName name="EN9100_051">Standortliste!$AI$72</definedName>
    <definedName name="EN9100B">Stammdaten!$M$71</definedName>
    <definedName name="EN9100Ja">Stammdaten!$B$72</definedName>
    <definedName name="EN9100Rev">Stammdaten!$H$72</definedName>
    <definedName name="EN9100v">Daten!$AF$6:$AG$6</definedName>
    <definedName name="EN9110_001">Standortliste!$AJ$22</definedName>
    <definedName name="EN9110_002">Standortliste!$AJ$23</definedName>
    <definedName name="EN9110_003">Standortliste!$AJ$24</definedName>
    <definedName name="EN9110_004">Standortliste!$AJ$25</definedName>
    <definedName name="EN9110_005">Standortliste!$AJ$26</definedName>
    <definedName name="EN9110_006">Standortliste!$AJ$27</definedName>
    <definedName name="EN9110_007">Standortliste!$AJ$28</definedName>
    <definedName name="EN9110_008">Standortliste!$AJ$29</definedName>
    <definedName name="EN9110_009">Standortliste!$AJ$30</definedName>
    <definedName name="EN9110_010">Standortliste!$AJ$31</definedName>
    <definedName name="EN9110_011">Standortliste!$AJ$32</definedName>
    <definedName name="EN9110_012">Standortliste!$AJ$33</definedName>
    <definedName name="EN9110_013">Standortliste!$AJ$34</definedName>
    <definedName name="EN9110_014">Standortliste!$AJ$35</definedName>
    <definedName name="EN9110_015">Standortliste!$AJ$36</definedName>
    <definedName name="EN9110_016">Standortliste!$AJ$37</definedName>
    <definedName name="EN9110_017">Standortliste!$AJ$38</definedName>
    <definedName name="EN9110_018">Standortliste!$AJ$39</definedName>
    <definedName name="EN9110_019">Standortliste!$AJ$40</definedName>
    <definedName name="EN9110_020">Standortliste!$AJ$41</definedName>
    <definedName name="EN9110_021">Standortliste!$AJ$42</definedName>
    <definedName name="EN9110_022">Standortliste!$AJ$43</definedName>
    <definedName name="EN9110_023">Standortliste!$AJ$44</definedName>
    <definedName name="EN9110_024">Standortliste!$AJ$45</definedName>
    <definedName name="EN9110_025">Standortliste!$AJ$46</definedName>
    <definedName name="EN9110_026">Standortliste!$AJ$47</definedName>
    <definedName name="EN9110_027">Standortliste!$AJ$48</definedName>
    <definedName name="EN9110_028">Standortliste!$AJ$49</definedName>
    <definedName name="EN9110_029">Standortliste!$AJ$50</definedName>
    <definedName name="EN9110_030">Standortliste!$AJ$51</definedName>
    <definedName name="EN9110_031">Standortliste!$AJ$52</definedName>
    <definedName name="EN9110_032">Standortliste!$AJ$53</definedName>
    <definedName name="EN9110_033">Standortliste!$AJ$54</definedName>
    <definedName name="EN9110_034">Standortliste!$AJ$55</definedName>
    <definedName name="EN9110_035">Standortliste!$AJ$56</definedName>
    <definedName name="EN9110_036">Standortliste!$AJ$57</definedName>
    <definedName name="EN9110_037">Standortliste!$AJ$58</definedName>
    <definedName name="EN9110_038">Standortliste!$AJ$59</definedName>
    <definedName name="EN9110_039">Standortliste!$AJ$60</definedName>
    <definedName name="EN9110_040">Standortliste!$AJ$61</definedName>
    <definedName name="EN9110_041">Standortliste!$AJ$62</definedName>
    <definedName name="EN9110_042">Standortliste!$AJ$63</definedName>
    <definedName name="EN9110_043">Standortliste!$AJ$64</definedName>
    <definedName name="EN9110_044">Standortliste!$AJ$65</definedName>
    <definedName name="EN9110_045">Standortliste!$AJ$66</definedName>
    <definedName name="EN9110_046">Standortliste!$AJ$67</definedName>
    <definedName name="EN9110_047">Standortliste!$AJ$68</definedName>
    <definedName name="EN9110_048">Standortliste!$AJ$69</definedName>
    <definedName name="EN9110_049">Standortliste!$AJ$70</definedName>
    <definedName name="EN9110_050">Standortliste!$AJ$71</definedName>
    <definedName name="EN9110_051">Standortliste!$AJ$72</definedName>
    <definedName name="EN9110_052">Standortliste!$AI$73</definedName>
    <definedName name="EN9110B">Stammdaten!$M$72</definedName>
    <definedName name="EN9110Ja">Stammdaten!$B$73</definedName>
    <definedName name="EN9110Rev">Stammdaten!$H$73</definedName>
    <definedName name="EN9110v">Daten!$AF$7:$AG$7</definedName>
    <definedName name="EN9120_001">Standortliste!$AK$22</definedName>
    <definedName name="EN9120_002">Standortliste!$AK$23</definedName>
    <definedName name="EN9120_003">Standortliste!$AK$24</definedName>
    <definedName name="EN9120_004">Standortliste!$AK$25</definedName>
    <definedName name="EN9120_005">Standortliste!$AK$26</definedName>
    <definedName name="EN9120_006">Standortliste!$AK$27</definedName>
    <definedName name="EN9120_007">Standortliste!$AK$28</definedName>
    <definedName name="EN9120_008">Standortliste!$AK$29</definedName>
    <definedName name="EN9120_009">Standortliste!$AK$30</definedName>
    <definedName name="EN9120_010">Standortliste!$AK$31</definedName>
    <definedName name="EN9120_011">Standortliste!$AK$32</definedName>
    <definedName name="EN9120_012">Standortliste!$AK$33</definedName>
    <definedName name="EN9120_013">Standortliste!$AK$34</definedName>
    <definedName name="EN9120_014">Standortliste!$AK$35</definedName>
    <definedName name="EN9120_015">Standortliste!$AK$36</definedName>
    <definedName name="EN9120_016">Standortliste!$AK$37</definedName>
    <definedName name="EN9120_017">Standortliste!$AK$38</definedName>
    <definedName name="EN9120_018">Standortliste!$AK$39</definedName>
    <definedName name="EN9120_019">Standortliste!$AK$40</definedName>
    <definedName name="EN9120_020">Standortliste!$AK$41</definedName>
    <definedName name="EN9120_021">Standortliste!$AK$42</definedName>
    <definedName name="EN9120_022">Standortliste!$AK$43</definedName>
    <definedName name="EN9120_023">Standortliste!$AK$44</definedName>
    <definedName name="EN9120_024">Standortliste!$AK$45</definedName>
    <definedName name="EN9120_025">Standortliste!$AK$46</definedName>
    <definedName name="EN9120_026">Standortliste!$AK$47</definedName>
    <definedName name="EN9120_027">Standortliste!$AK$48</definedName>
    <definedName name="EN9120_028">Standortliste!$AK$49</definedName>
    <definedName name="EN9120_029">Standortliste!$AK$50</definedName>
    <definedName name="EN9120_030">Standortliste!$AK$51</definedName>
    <definedName name="EN9120_031">Standortliste!$AK$52</definedName>
    <definedName name="EN9120_032">Standortliste!$AK$53</definedName>
    <definedName name="EN9120_033">Standortliste!$AK$54</definedName>
    <definedName name="EN9120_034">Standortliste!$AK$55</definedName>
    <definedName name="EN9120_035">Standortliste!$AK$56</definedName>
    <definedName name="EN9120_036">Standortliste!$AK$57</definedName>
    <definedName name="EN9120_037">Standortliste!$AK$58</definedName>
    <definedName name="EN9120_038">Standortliste!$AK$59</definedName>
    <definedName name="EN9120_039">Standortliste!$AK$60</definedName>
    <definedName name="EN9120_040">Standortliste!$AK$61</definedName>
    <definedName name="EN9120_041">Standortliste!$AK$62</definedName>
    <definedName name="EN9120_042">Standortliste!$AK$63</definedName>
    <definedName name="EN9120_043">Standortliste!$AK$64</definedName>
    <definedName name="EN9120_044">Standortliste!$AK$65</definedName>
    <definedName name="EN9120_045">Standortliste!$AK$66</definedName>
    <definedName name="EN9120_046">Standortliste!$AK$67</definedName>
    <definedName name="EN9120_047">Standortliste!$AK$68</definedName>
    <definedName name="EN9120_048">Standortliste!$AK$69</definedName>
    <definedName name="EN9120_049">Standortliste!$AK$70</definedName>
    <definedName name="EN9120_050">Standortliste!$AK$71</definedName>
    <definedName name="EN9120_051">Standortliste!$AK$72</definedName>
    <definedName name="EN9120_052">Standortliste!$AJ$73</definedName>
    <definedName name="EN9120B">Stammdaten!$M$73</definedName>
    <definedName name="EN9120Ja">Stammdaten!$B$74</definedName>
    <definedName name="EN9120Rev">Stammdaten!$H$74</definedName>
    <definedName name="EN9120v">Daten!$AF$8:$AG$8</definedName>
    <definedName name="Englisch">Daten!$AV$26</definedName>
    <definedName name="Entwicklung">Daten!$C$2</definedName>
    <definedName name="EpxortYes">Stammdaten!$H$44</definedName>
    <definedName name="Experte1">Auditteam!$C$11</definedName>
    <definedName name="Experte1EAC">Auditteam!$M$11</definedName>
    <definedName name="Experte2">Auditteam!$C$12</definedName>
    <definedName name="Experte2EAC">Auditteam!$M$12</definedName>
    <definedName name="ExpiryDate">Upgrade2016!$C$7</definedName>
    <definedName name="ExportCountries">Stammdaten!$D$45</definedName>
    <definedName name="ExportinScope">Stammdaten!$H$47</definedName>
    <definedName name="ExportOASIS">Stammdaten!$H$48</definedName>
    <definedName name="ExportProducts">Stammdaten!$D$46</definedName>
    <definedName name="Extens_1">Addition!$C$14</definedName>
    <definedName name="Extens_2">Addition!$E$14</definedName>
    <definedName name="Extens_3">Addition!$G$14</definedName>
    <definedName name="Firma">Stammdaten!$C$5</definedName>
    <definedName name="Formblatt">Daten!$A$2</definedName>
    <definedName name="FormblattRev">Daten!$A$5</definedName>
    <definedName name="Gebiete">Stammdaten!$B$72:$B$75</definedName>
    <definedName name="Gültig">Auditteam!$B$25</definedName>
    <definedName name="Hauptsitz">Standortliste!$U$16</definedName>
    <definedName name="High">Daten!$AY$4</definedName>
    <definedName name="HQ">Daten!$AR$4</definedName>
    <definedName name="HQZF">Daten!$AR$2</definedName>
    <definedName name="Init2016">Stammdaten!$M$75</definedName>
    <definedName name="IntegAQMS">Stammdaten!$E$76</definedName>
    <definedName name="Integration">Daten!$L$2:$L$6</definedName>
    <definedName name="ISO9001_001">Standortliste!$AL$22</definedName>
    <definedName name="ISO9001_002">Standortliste!$AL$23</definedName>
    <definedName name="ISO9001_003">Standortliste!$AL$24</definedName>
    <definedName name="ISO9001_004">Standortliste!$AL$25</definedName>
    <definedName name="ISO9001_005">Standortliste!$AL$26</definedName>
    <definedName name="ISO9001_006">Standortliste!$AL$27</definedName>
    <definedName name="ISO9001_007">Standortliste!$AL$28</definedName>
    <definedName name="ISO9001_008">Standortliste!$AL$29</definedName>
    <definedName name="ISO9001_009">Standortliste!$AL$30</definedName>
    <definedName name="ISO9001_010">Standortliste!$AL$31</definedName>
    <definedName name="ISO9001_011">Standortliste!$AL$32</definedName>
    <definedName name="ISO9001_012">Standortliste!$AL$33</definedName>
    <definedName name="ISO9001_013">Standortliste!$AL$34</definedName>
    <definedName name="ISO9001_014">Standortliste!$AL$35</definedName>
    <definedName name="ISO9001_015">Standortliste!$AL$36</definedName>
    <definedName name="ISO9001_016">Standortliste!$AL$37</definedName>
    <definedName name="ISO9001_017">Standortliste!$AL$38</definedName>
    <definedName name="ISO9001_018">Standortliste!$AL$39</definedName>
    <definedName name="ISO9001_019">Standortliste!$AL$40</definedName>
    <definedName name="ISO9001_020">Standortliste!$AL$41</definedName>
    <definedName name="ISO9001_021">Standortliste!$AL$42</definedName>
    <definedName name="ISO9001_022">Standortliste!$AL$43</definedName>
    <definedName name="ISO9001_023">Standortliste!$AL$44</definedName>
    <definedName name="ISO9001_024">Standortliste!$AL$45</definedName>
    <definedName name="ISO9001_025">Standortliste!$AL$46</definedName>
    <definedName name="ISO9001_026">Standortliste!$AL$47</definedName>
    <definedName name="ISO9001_027">Standortliste!$AL$48</definedName>
    <definedName name="ISO9001_028">Standortliste!$AL$49</definedName>
    <definedName name="ISO9001_029">Standortliste!$AL$50</definedName>
    <definedName name="ISO9001_030">Standortliste!$AL$51</definedName>
    <definedName name="ISO9001_031">Standortliste!$AL$52</definedName>
    <definedName name="ISO9001_032">Standortliste!$AL$53</definedName>
    <definedName name="ISO9001_033">Standortliste!$AL$54</definedName>
    <definedName name="ISO9001_034">Standortliste!$AL$55</definedName>
    <definedName name="ISO9001_035">Standortliste!$AL$56</definedName>
    <definedName name="ISO9001_036">Standortliste!$AL$57</definedName>
    <definedName name="ISO9001_037">Standortliste!$AL$58</definedName>
    <definedName name="ISO9001_038">Standortliste!$AL$59</definedName>
    <definedName name="ISO9001_039">Standortliste!$AL$60</definedName>
    <definedName name="ISO9001_040">Standortliste!$AL$61</definedName>
    <definedName name="ISO9001_041">Standortliste!$AL$62</definedName>
    <definedName name="ISO9001_042">Standortliste!$AL$63</definedName>
    <definedName name="ISO9001_043">Standortliste!$AL$64</definedName>
    <definedName name="ISO9001_044">Standortliste!$AL$65</definedName>
    <definedName name="ISO9001_045">Standortliste!$AL$66</definedName>
    <definedName name="ISO9001_046">Standortliste!$AL$67</definedName>
    <definedName name="ISO9001_047">Standortliste!$AL$68</definedName>
    <definedName name="ISO9001_048">Standortliste!$AL$69</definedName>
    <definedName name="ISO9001_049">Standortliste!$AL$70</definedName>
    <definedName name="ISO9001_050">Standortliste!$AL$71</definedName>
    <definedName name="ISO9001_051">Standortliste!$AL$72</definedName>
    <definedName name="ISO9001_052">Standortliste!$AK$73</definedName>
    <definedName name="ISO9001Ja">Stammdaten!$B$75</definedName>
    <definedName name="ISO9001Rev">Stammdaten!$H$75</definedName>
    <definedName name="ISO9001v">Daten!$AF$9:$AG$9</definedName>
    <definedName name="J_1">Stammdaten!$A$52</definedName>
    <definedName name="J_2">Stammdaten!$A$53</definedName>
    <definedName name="J_3">Stammdaten!$A$54</definedName>
    <definedName name="J1Add">Addition!$D$22</definedName>
    <definedName name="J1AddNC">Addition!$D$27</definedName>
    <definedName name="J2Add">Addition!$F$22</definedName>
    <definedName name="J2AddNC">Addition!$F$27</definedName>
    <definedName name="J3Add">Addition!$H$22</definedName>
    <definedName name="J3AddNC">Addition!$H$27</definedName>
    <definedName name="Ja">Daten!$E$2</definedName>
    <definedName name="JaNein">Daten!$E$2:$E$3</definedName>
    <definedName name="JaNeinNZ">Daten!$E$2:$E$4</definedName>
    <definedName name="Kombination">Daten!$L$2:$M$6</definedName>
    <definedName name="Komplexität">Daten!$AY$2:$AZ$5</definedName>
    <definedName name="Komplexität1">Stammdaten!$D$52</definedName>
    <definedName name="Komplexität2">Stammdaten!$D$53</definedName>
    <definedName name="Komplexität3">Stammdaten!$D$54</definedName>
    <definedName name="Konzern">Stammdaten!$C$7</definedName>
    <definedName name="Kreuz">Daten!$O$2:$O$3</definedName>
    <definedName name="Land">Stammdaten!$E$13</definedName>
    <definedName name="Land_001">Standortliste!$Y$22</definedName>
    <definedName name="Land_002">Standortliste!$Y$23</definedName>
    <definedName name="Land_003">Standortliste!$Y$24</definedName>
    <definedName name="Land_004">Standortliste!$Y$25</definedName>
    <definedName name="Land_005">Standortliste!$Y$26</definedName>
    <definedName name="Land_006">Standortliste!$Y$27</definedName>
    <definedName name="Land_007">Standortliste!$Y$28</definedName>
    <definedName name="Land_008">Standortliste!$Y$29</definedName>
    <definedName name="Land_009">Standortliste!$Y$30</definedName>
    <definedName name="Land_010">Standortliste!$Y$31</definedName>
    <definedName name="Land_011">Standortliste!$Y$32</definedName>
    <definedName name="Land_012">Standortliste!$Y$33</definedName>
    <definedName name="Land_013">Standortliste!$Y$34</definedName>
    <definedName name="Land_014">Standortliste!$Y$35</definedName>
    <definedName name="Land_015">Standortliste!$Y$36</definedName>
    <definedName name="Land_016">Standortliste!$Y$37</definedName>
    <definedName name="Land_017">Standortliste!$Y$38</definedName>
    <definedName name="Land_018">Standortliste!$Y$39</definedName>
    <definedName name="Land_019">Standortliste!$Y$40</definedName>
    <definedName name="Land_020">Standortliste!$Y$41</definedName>
    <definedName name="Land_021">Standortliste!$Y$42</definedName>
    <definedName name="Land_022">Standortliste!$Y$43</definedName>
    <definedName name="Land_023">Standortliste!$Y$44</definedName>
    <definedName name="Land_024">Standortliste!$Y$45</definedName>
    <definedName name="Land_025">Standortliste!$Y$46</definedName>
    <definedName name="Land_026">Standortliste!$Y$47</definedName>
    <definedName name="Land_027">Standortliste!$Y$48</definedName>
    <definedName name="Land_028">Standortliste!$Y$49</definedName>
    <definedName name="Land_029">Standortliste!$Y$50</definedName>
    <definedName name="Land_030">Standortliste!$Y$51</definedName>
    <definedName name="Land_031">Standortliste!$Y$52</definedName>
    <definedName name="Land_032">Standortliste!$Y$53</definedName>
    <definedName name="Land_033">Standortliste!$Y$54</definedName>
    <definedName name="Land_034">Standortliste!$Y$55</definedName>
    <definedName name="Land_035">Standortliste!$Y$56</definedName>
    <definedName name="Land_036">Standortliste!$Y$57</definedName>
    <definedName name="Land_037">Standortliste!$Y$58</definedName>
    <definedName name="Land_038">Standortliste!$Y$59</definedName>
    <definedName name="Land_039">Standortliste!$Y$60</definedName>
    <definedName name="Land_040">Standortliste!$Y$61</definedName>
    <definedName name="Land_041">Standortliste!$Y$62</definedName>
    <definedName name="Land_042">Standortliste!$Y$63</definedName>
    <definedName name="Land_043">Standortliste!$Y$64</definedName>
    <definedName name="Land_044">Standortliste!$Y$65</definedName>
    <definedName name="Land_045">Standortliste!$Y$66</definedName>
    <definedName name="Land_046">Standortliste!$Y$67</definedName>
    <definedName name="Land_047">Standortliste!$Y$68</definedName>
    <definedName name="Land_048">Standortliste!$Y$69</definedName>
    <definedName name="Land_049">Standortliste!$Y$70</definedName>
    <definedName name="Land_050">Standortliste!$Y$71</definedName>
    <definedName name="Land_051">Standortliste!$Y$72</definedName>
    <definedName name="Länder">Daten!$AN$2:$AP$248</definedName>
    <definedName name="Ländercodes">Daten!$AN$2:$AN$248</definedName>
    <definedName name="LänderDE">Daten!$AO$2:$AO$248</definedName>
    <definedName name="LänderEN">Daten!$AP$2:$AP$248</definedName>
    <definedName name="Lenkungsfunktion">Standortliste!$U$17</definedName>
    <definedName name="Limit_1">Addition!$D$20</definedName>
    <definedName name="Limit_2">Addition!$F$20</definedName>
    <definedName name="Limit_3">Addition!$H$20</definedName>
    <definedName name="Limit_Just">Addition!$C$21</definedName>
    <definedName name="ListeKomplexität">Daten!$AY$2:$AY$5</definedName>
    <definedName name="Low">Daten!$AY$2</definedName>
    <definedName name="MAVrnd1">Standortliste!$AQ$21</definedName>
    <definedName name="MaxAdd">Addition!$A$20</definedName>
    <definedName name="maxSh1">Standortliste!$N$12</definedName>
    <definedName name="maxSh2">Standortliste!$S$12</definedName>
    <definedName name="maxSh3">Standortliste!$X$12</definedName>
    <definedName name="MaxZuschlag">Daten!$BA$9</definedName>
    <definedName name="Medium">Daten!$AY$3</definedName>
    <definedName name="MSnMA1">Standortliste!$E$17</definedName>
    <definedName name="MSnMA2">Standortliste!$F$17</definedName>
    <definedName name="MSnMA3">Standortliste!$G$17</definedName>
    <definedName name="MSnMAero1">Standortliste!$E$16</definedName>
    <definedName name="MSnMAero2">Standortliste!$F$16</definedName>
    <definedName name="MSnMAero3">Standortliste!$G$16</definedName>
    <definedName name="MSnSite1">Standortliste!$E$15</definedName>
    <definedName name="MSnSite2">Standortliste!$F$15</definedName>
    <definedName name="MSnSite3">Standortliste!$G$15</definedName>
    <definedName name="MultipleSite">Daten!$H$3</definedName>
    <definedName name="MultiSite">Daten!$H$2:$H$6</definedName>
    <definedName name="n_z">Daten!$E$4</definedName>
    <definedName name="Nein">Daten!$E$3</definedName>
    <definedName name="nFilialen1">Stammdaten!$L$52</definedName>
    <definedName name="nFilialen2">Stammdaten!$L$53</definedName>
    <definedName name="nFilialen3">Stammdaten!$L$54</definedName>
    <definedName name="NIL">Daten!$Y$4</definedName>
    <definedName name="nMA_1_001">Standortliste!$M$22</definedName>
    <definedName name="nMA_1_002">Standortliste!$M$23</definedName>
    <definedName name="nMA_1_003">Standortliste!$M$24</definedName>
    <definedName name="nMA_1_004">Standortliste!$M$25</definedName>
    <definedName name="nMA_1_005">Standortliste!$M$26</definedName>
    <definedName name="nMA_1_006">Standortliste!$M$27</definedName>
    <definedName name="nMA_1_007">Standortliste!$M$28</definedName>
    <definedName name="nMA_1_008">Standortliste!$M$29</definedName>
    <definedName name="nMA_1_009">Standortliste!$M$30</definedName>
    <definedName name="nMA_1_010">Standortliste!$M$31</definedName>
    <definedName name="nMA_1_011">Standortliste!$M$32</definedName>
    <definedName name="nMA_1_012">Standortliste!$M$33</definedName>
    <definedName name="nMA_1_013">Standortliste!$M$34</definedName>
    <definedName name="nMA_1_014">Standortliste!$M$35</definedName>
    <definedName name="nMA_1_015">Standortliste!$M$36</definedName>
    <definedName name="nMA_1_016">Standortliste!$M$37</definedName>
    <definedName name="nMA_1_017">Standortliste!$M$38</definedName>
    <definedName name="nMA_1_018">Standortliste!$M$39</definedName>
    <definedName name="nMA_1_019">Standortliste!$M$40</definedName>
    <definedName name="nMA_1_020">Standortliste!$M$41</definedName>
    <definedName name="nMA_1_021">Standortliste!$M$42</definedName>
    <definedName name="nMA_1_022">Standortliste!$M$43</definedName>
    <definedName name="nMA_1_023">Standortliste!$M$44</definedName>
    <definedName name="nMA_1_024">Standortliste!$M$45</definedName>
    <definedName name="nMA_1_025">Standortliste!$M$46</definedName>
    <definedName name="nMA_1_026">Standortliste!$M$47</definedName>
    <definedName name="nMA_1_027">Standortliste!$M$48</definedName>
    <definedName name="nMA_1_028">Standortliste!$M$49</definedName>
    <definedName name="nMA_1_029">Standortliste!$M$50</definedName>
    <definedName name="nMA_1_030">Standortliste!$M$51</definedName>
    <definedName name="nMA_1_031">Standortliste!$M$52</definedName>
    <definedName name="nMA_1_032">Standortliste!$M$53</definedName>
    <definedName name="nMA_1_033">Standortliste!$M$54</definedName>
    <definedName name="nMA_1_034">Standortliste!$M$55</definedName>
    <definedName name="nMA_1_035">Standortliste!$M$56</definedName>
    <definedName name="nMA_1_036">Standortliste!$M$57</definedName>
    <definedName name="nMA_1_037">Standortliste!$M$58</definedName>
    <definedName name="nMA_1_038">Standortliste!$M$59</definedName>
    <definedName name="nMA_1_039">Standortliste!$M$60</definedName>
    <definedName name="nMA_1_040">Standortliste!$M$61</definedName>
    <definedName name="nMA_1_041">Standortliste!$M$62</definedName>
    <definedName name="nMA_1_042">Standortliste!$M$63</definedName>
    <definedName name="nMA_1_043">Standortliste!$M$64</definedName>
    <definedName name="nMA_1_044">Standortliste!$M$65</definedName>
    <definedName name="nMA_1_045">Standortliste!$M$66</definedName>
    <definedName name="nMA_1_046">Standortliste!$M$67</definedName>
    <definedName name="nMA_1_047">Standortliste!$M$68</definedName>
    <definedName name="nMA_1_048">Standortliste!$M$69</definedName>
    <definedName name="nMA_1_049">Standortliste!$M$70</definedName>
    <definedName name="nMA_1_050">Standortliste!$M$71</definedName>
    <definedName name="nMA_1_051">Standortliste!$M$72</definedName>
    <definedName name="nMA_2_001">Standortliste!$R$22</definedName>
    <definedName name="nMA_2_002">Standortliste!$R$23</definedName>
    <definedName name="nMA_2_003">Standortliste!$R$24</definedName>
    <definedName name="nMA_2_004">Standortliste!$R$25</definedName>
    <definedName name="nMA_2_005">Standortliste!$R$26</definedName>
    <definedName name="nMA_2_006">Standortliste!$R$27</definedName>
    <definedName name="nMA_2_007">Standortliste!$R$28</definedName>
    <definedName name="nMA_2_008">Standortliste!$R$29</definedName>
    <definedName name="nMA_2_009">Standortliste!$R$30</definedName>
    <definedName name="nMA_2_010">Standortliste!$R$31</definedName>
    <definedName name="nMA_2_011">Standortliste!$R$32</definedName>
    <definedName name="nMA_2_012">Standortliste!$R$33</definedName>
    <definedName name="nMA_2_013">Standortliste!$R$34</definedName>
    <definedName name="nMA_2_014">Standortliste!$R$35</definedName>
    <definedName name="nMA_2_015">Standortliste!$R$36</definedName>
    <definedName name="nMA_2_016">Standortliste!$R$37</definedName>
    <definedName name="nMA_2_017">Standortliste!$R$38</definedName>
    <definedName name="nMA_2_018">Standortliste!$R$39</definedName>
    <definedName name="nMA_2_019">Standortliste!$R$40</definedName>
    <definedName name="nMA_2_020">Standortliste!$R$41</definedName>
    <definedName name="nMA_2_021">Standortliste!$R$42</definedName>
    <definedName name="nMA_2_022">Standortliste!$R$43</definedName>
    <definedName name="nMA_2_023">Standortliste!$R$44</definedName>
    <definedName name="nMA_2_024">Standortliste!$R$45</definedName>
    <definedName name="nMA_2_025">Standortliste!$R$46</definedName>
    <definedName name="nMA_2_026">Standortliste!$R$47</definedName>
    <definedName name="nMA_2_027">Standortliste!$R$48</definedName>
    <definedName name="nMA_2_028">Standortliste!$R$49</definedName>
    <definedName name="nMA_2_029">Standortliste!$R$50</definedName>
    <definedName name="nMA_2_030">Standortliste!$R$51</definedName>
    <definedName name="nMA_2_031">Standortliste!$R$52</definedName>
    <definedName name="nMA_2_032">Standortliste!$R$53</definedName>
    <definedName name="nMA_2_033">Standortliste!$R$54</definedName>
    <definedName name="nMA_2_034">Standortliste!$R$55</definedName>
    <definedName name="nMA_2_035">Standortliste!$R$56</definedName>
    <definedName name="nMA_2_036">Standortliste!$R$57</definedName>
    <definedName name="nMA_2_037">Standortliste!$R$58</definedName>
    <definedName name="nMA_2_038">Standortliste!$R$59</definedName>
    <definedName name="nMA_2_039">Standortliste!$R$60</definedName>
    <definedName name="nMA_2_040">Standortliste!$R$61</definedName>
    <definedName name="nMA_2_041">Standortliste!$R$62</definedName>
    <definedName name="nMA_2_042">Standortliste!$R$63</definedName>
    <definedName name="nMA_2_043">Standortliste!$R$64</definedName>
    <definedName name="nMA_2_044">Standortliste!$R$65</definedName>
    <definedName name="nMA_2_045">Standortliste!$R$66</definedName>
    <definedName name="nMA_2_046">Standortliste!$R$67</definedName>
    <definedName name="nMA_2_047">Standortliste!$R$68</definedName>
    <definedName name="nMA_2_048">Standortliste!$R$69</definedName>
    <definedName name="nMA_2_049">Standortliste!$R$70</definedName>
    <definedName name="nMA_2_050">Standortliste!$R$71</definedName>
    <definedName name="nMA_2_051">Standortliste!$R$72</definedName>
    <definedName name="nMA_3_001">Standortliste!$W$22</definedName>
    <definedName name="nMA_3_002">Standortliste!$W$23</definedName>
    <definedName name="nMA_3_003">Standortliste!$W$24</definedName>
    <definedName name="nMA_3_004">Standortliste!$W$25</definedName>
    <definedName name="nMA_3_005">Standortliste!$W$26</definedName>
    <definedName name="nMA_3_006">Standortliste!$W$27</definedName>
    <definedName name="nMA_3_007">Standortliste!$W$28</definedName>
    <definedName name="nMA_3_008">Standortliste!$W$29</definedName>
    <definedName name="nMA_3_009">Standortliste!$W$30</definedName>
    <definedName name="nMA_3_010">Standortliste!$W$31</definedName>
    <definedName name="nMA_3_011">Standortliste!$W$32</definedName>
    <definedName name="nMA_3_012">Standortliste!$W$33</definedName>
    <definedName name="nMA_3_013">Standortliste!$W$34</definedName>
    <definedName name="nMA_3_014">Standortliste!$W$35</definedName>
    <definedName name="nMA_3_015">Standortliste!$W$36</definedName>
    <definedName name="nMA_3_016">Standortliste!$W$37</definedName>
    <definedName name="nMA_3_017">Standortliste!$W$38</definedName>
    <definedName name="nMA_3_018">Standortliste!$W$39</definedName>
    <definedName name="nMA_3_019">Standortliste!$W$40</definedName>
    <definedName name="nMA_3_020">Standortliste!$W$41</definedName>
    <definedName name="nMA_3_021">Standortliste!$W$42</definedName>
    <definedName name="nMA_3_022">Standortliste!$W$43</definedName>
    <definedName name="nMA_3_023">Standortliste!$W$44</definedName>
    <definedName name="nMA_3_024">Standortliste!$W$45</definedName>
    <definedName name="nMA_3_025">Standortliste!$W$46</definedName>
    <definedName name="nMA_3_026">Standortliste!$W$47</definedName>
    <definedName name="nMA_3_027">Standortliste!$W$48</definedName>
    <definedName name="nMA_3_028">Standortliste!$W$49</definedName>
    <definedName name="nMA_3_029">Standortliste!$W$50</definedName>
    <definedName name="nMA_3_030">Standortliste!$W$51</definedName>
    <definedName name="nMA_3_031">Standortliste!$W$52</definedName>
    <definedName name="nMA_3_032">Standortliste!$W$53</definedName>
    <definedName name="nMA_3_033">Standortliste!$W$54</definedName>
    <definedName name="nMA_3_034">Standortliste!$W$55</definedName>
    <definedName name="nMA_3_035">Standortliste!$W$56</definedName>
    <definedName name="nMA_3_036">Standortliste!$W$57</definedName>
    <definedName name="nMA_3_037">Standortliste!$W$58</definedName>
    <definedName name="nMA_3_038">Standortliste!$W$59</definedName>
    <definedName name="nMA_3_039">Standortliste!$W$60</definedName>
    <definedName name="nMA_3_040">Standortliste!$W$61</definedName>
    <definedName name="nMA_3_041">Standortliste!$W$62</definedName>
    <definedName name="nMA_3_042">Standortliste!$W$63</definedName>
    <definedName name="nMA_3_043">Standortliste!$W$64</definedName>
    <definedName name="nMA_3_044">Standortliste!$W$65</definedName>
    <definedName name="nMA_3_045">Standortliste!$W$66</definedName>
    <definedName name="nMA_3_046">Standortliste!$W$67</definedName>
    <definedName name="nMA_3_047">Standortliste!$W$68</definedName>
    <definedName name="nMA_3_048">Standortliste!$W$69</definedName>
    <definedName name="nMA_3_049">Standortliste!$W$70</definedName>
    <definedName name="nMA_3_050">Standortliste!$W$71</definedName>
    <definedName name="nMA_3_051">Standortliste!$W$72</definedName>
    <definedName name="nMA1J">Stammdaten!$C$61</definedName>
    <definedName name="nMA2J">Stammdaten!$G$61</definedName>
    <definedName name="nMA3J">Stammdaten!$K$61</definedName>
    <definedName name="nMADiffMuS">Standortliste!$E$12</definedName>
    <definedName name="nMADiffSiS">Stammdaten!$M$61</definedName>
    <definedName name="nMAg1J">Stammdaten!$A$61</definedName>
    <definedName name="nMAg2J">Stammdaten!$E$61</definedName>
    <definedName name="nMAg3J">Stammdaten!$I$61</definedName>
    <definedName name="nMAGes_1_001">Standortliste!$J$22</definedName>
    <definedName name="nMAGes_1_002">Standortliste!$J$23</definedName>
    <definedName name="nMAGes_1_003">Standortliste!$J$24</definedName>
    <definedName name="nMAGes_1_004">Standortliste!$J$25</definedName>
    <definedName name="nMAGes_1_005">Standortliste!$J$26</definedName>
    <definedName name="nMAGes_1_006">Standortliste!$J$27</definedName>
    <definedName name="nMAGes_1_007">Standortliste!$J$28</definedName>
    <definedName name="nMAGes_1_008">Standortliste!$J$29</definedName>
    <definedName name="nMAGes_1_009">Standortliste!$J$30</definedName>
    <definedName name="nMAGes_1_010">Standortliste!$J$31</definedName>
    <definedName name="nMAGes_1_011">Standortliste!$J$32</definedName>
    <definedName name="nMAGes_1_012">Standortliste!$J$33</definedName>
    <definedName name="nMAGes_1_013">Standortliste!$J$34</definedName>
    <definedName name="nMAGes_1_014">Standortliste!$J$35</definedName>
    <definedName name="nMAGes_1_015">Standortliste!$J$36</definedName>
    <definedName name="nMAGes_1_016">Standortliste!$J$37</definedName>
    <definedName name="nMAGes_1_017">Standortliste!$J$38</definedName>
    <definedName name="nMAGes_1_018">Standortliste!$J$39</definedName>
    <definedName name="nMAGes_1_019">Standortliste!$J$40</definedName>
    <definedName name="nMAGes_1_020">Standortliste!$J$41</definedName>
    <definedName name="nMAGes_1_021">Standortliste!$J$42</definedName>
    <definedName name="nMAGes_1_022">Standortliste!$J$43</definedName>
    <definedName name="nMAGes_1_023">Standortliste!$J$44</definedName>
    <definedName name="nMAGes_1_024">Standortliste!$J$45</definedName>
    <definedName name="nMAGes_1_025">Standortliste!$J$46</definedName>
    <definedName name="nMAGes_1_026">Standortliste!$J$47</definedName>
    <definedName name="nMAGes_1_027">Standortliste!$J$48</definedName>
    <definedName name="nMAGes_1_028">Standortliste!$J$49</definedName>
    <definedName name="nMAGes_1_029">Standortliste!$J$50</definedName>
    <definedName name="nMAGes_1_030">Standortliste!$J$51</definedName>
    <definedName name="nMAGes_1_031">Standortliste!$J$52</definedName>
    <definedName name="nMAGes_1_032">Standortliste!$J$53</definedName>
    <definedName name="nMAGes_1_033">Standortliste!$J$54</definedName>
    <definedName name="nMAGes_1_034">Standortliste!$J$55</definedName>
    <definedName name="nMAGes_1_035">Standortliste!$J$56</definedName>
    <definedName name="nMAGes_1_036">Standortliste!$J$57</definedName>
    <definedName name="nMAGes_1_037">Standortliste!$J$58</definedName>
    <definedName name="nMAGes_1_038">Standortliste!$J$59</definedName>
    <definedName name="nMAGes_1_039">Standortliste!$J$60</definedName>
    <definedName name="nMAGes_1_040">Standortliste!$J$61</definedName>
    <definedName name="nMAGes_1_041">Standortliste!$J$62</definedName>
    <definedName name="nMAGes_1_042">Standortliste!$J$63</definedName>
    <definedName name="nMAGes_1_043">Standortliste!$J$64</definedName>
    <definedName name="nMAGes_1_044">Standortliste!$J$65</definedName>
    <definedName name="nMAGes_1_045">Standortliste!$J$66</definedName>
    <definedName name="nMAGes_1_046">Standortliste!$J$67</definedName>
    <definedName name="nMAGes_1_047">Standortliste!$J$68</definedName>
    <definedName name="nMAGes_1_048">Standortliste!$J$69</definedName>
    <definedName name="nMAGes_1_049">Standortliste!$J$70</definedName>
    <definedName name="nMAGes_1_050">Standortliste!$J$71</definedName>
    <definedName name="nMAGes_1_051">Standortliste!$J$72</definedName>
    <definedName name="nMAGes_1_052">Standortliste!$L$73</definedName>
    <definedName name="nMAGes_2_001">Standortliste!$O$22</definedName>
    <definedName name="nMAGes_2_002">Standortliste!$O$23</definedName>
    <definedName name="nMAGes_2_003">Standortliste!$O$24</definedName>
    <definedName name="nMAGes_2_004">Standortliste!$O$25</definedName>
    <definedName name="nMAGes_2_005">Standortliste!$O$26</definedName>
    <definedName name="nMAGes_2_006">Standortliste!$O$27</definedName>
    <definedName name="nMAGes_2_007">Standortliste!$O$28</definedName>
    <definedName name="nMAGes_2_008">Standortliste!$O$29</definedName>
    <definedName name="nMAGes_2_009">Standortliste!$O$30</definedName>
    <definedName name="nMAGes_2_010">Standortliste!$O$31</definedName>
    <definedName name="nMAGes_2_011">Standortliste!$O$32</definedName>
    <definedName name="nMAGes_2_012">Standortliste!$O$33</definedName>
    <definedName name="nMAGes_2_013">Standortliste!$O$34</definedName>
    <definedName name="nMAGes_2_014">Standortliste!$O$35</definedName>
    <definedName name="nMAGes_2_015">Standortliste!$O$36</definedName>
    <definedName name="nMAGes_2_016">Standortliste!$O$37</definedName>
    <definedName name="nMAGes_2_017">Standortliste!$O$38</definedName>
    <definedName name="nMAGes_2_018">Standortliste!$O$39</definedName>
    <definedName name="nMAGes_2_019">Standortliste!$O$40</definedName>
    <definedName name="nMAGes_2_020">Standortliste!$O$41</definedName>
    <definedName name="nMAGes_2_021">Standortliste!$O$42</definedName>
    <definedName name="nMAGes_2_022">Standortliste!$O$43</definedName>
    <definedName name="nMAGes_2_023">Standortliste!$O$44</definedName>
    <definedName name="nMAGes_2_024">Standortliste!$O$45</definedName>
    <definedName name="nMAGes_2_025">Standortliste!$O$46</definedName>
    <definedName name="nMAGes_2_026">Standortliste!$O$47</definedName>
    <definedName name="nMAGes_2_027">Standortliste!$O$48</definedName>
    <definedName name="nMAGes_2_028">Standortliste!$O$49</definedName>
    <definedName name="nMAGes_2_029">Standortliste!$O$50</definedName>
    <definedName name="nMAGes_2_030">Standortliste!$O$51</definedName>
    <definedName name="nMAGes_2_031">Standortliste!$O$52</definedName>
    <definedName name="nMAGes_2_032">Standortliste!$O$53</definedName>
    <definedName name="nMAGes_2_033">Standortliste!$O$54</definedName>
    <definedName name="nMAGes_2_034">Standortliste!$O$55</definedName>
    <definedName name="nMAGes_2_035">Standortliste!$O$56</definedName>
    <definedName name="nMAGes_2_036">Standortliste!$O$57</definedName>
    <definedName name="nMAGes_2_037">Standortliste!$O$58</definedName>
    <definedName name="nMAGes_2_038">Standortliste!$O$59</definedName>
    <definedName name="nMAGes_2_039">Standortliste!$O$60</definedName>
    <definedName name="nMAGes_2_040">Standortliste!$O$61</definedName>
    <definedName name="nMAGes_2_041">Standortliste!$O$62</definedName>
    <definedName name="nMAGes_2_042">Standortliste!$O$63</definedName>
    <definedName name="nMAGes_2_043">Standortliste!$O$64</definedName>
    <definedName name="nMAGes_2_044">Standortliste!$O$65</definedName>
    <definedName name="nMAGes_2_045">Standortliste!$O$66</definedName>
    <definedName name="nMAGes_2_046">Standortliste!$O$67</definedName>
    <definedName name="nMAGes_2_047">Standortliste!$O$68</definedName>
    <definedName name="nMAGes_2_048">Standortliste!$O$69</definedName>
    <definedName name="nMAGes_2_049">Standortliste!$O$70</definedName>
    <definedName name="nMAGes_2_050">Standortliste!$O$71</definedName>
    <definedName name="nMAGes_2_051">Standortliste!$O$72</definedName>
    <definedName name="nMAGes_2_052">Standortliste!$Q$73</definedName>
    <definedName name="nMAGes_3_001">Standortliste!$T$22</definedName>
    <definedName name="nMAGes_3_002">Standortliste!$T$23</definedName>
    <definedName name="nMAGes_3_003">Standortliste!$T$24</definedName>
    <definedName name="nMAGes_3_004">Standortliste!$T$25</definedName>
    <definedName name="nMAGes_3_005">Standortliste!$T$26</definedName>
    <definedName name="nMAGes_3_006">Standortliste!$T$27</definedName>
    <definedName name="nMAGes_3_007">Standortliste!$T$28</definedName>
    <definedName name="nMAGes_3_008">Standortliste!$T$29</definedName>
    <definedName name="nMAGes_3_009">Standortliste!$T$30</definedName>
    <definedName name="nMAGes_3_010">Standortliste!$T$31</definedName>
    <definedName name="nMAGes_3_011">Standortliste!$T$32</definedName>
    <definedName name="nMAGes_3_012">Standortliste!$T$33</definedName>
    <definedName name="nMAGes_3_013">Standortliste!$T$34</definedName>
    <definedName name="nMAGes_3_014">Standortliste!$T$35</definedName>
    <definedName name="nMAGes_3_015">Standortliste!$T$36</definedName>
    <definedName name="nMAGes_3_016">Standortliste!$T$37</definedName>
    <definedName name="nMAGes_3_017">Standortliste!$T$38</definedName>
    <definedName name="nMAGes_3_018">Standortliste!$T$39</definedName>
    <definedName name="nMAGes_3_019">Standortliste!$T$40</definedName>
    <definedName name="nMAGes_3_020">Standortliste!$T$41</definedName>
    <definedName name="nMAGes_3_021">Standortliste!$T$42</definedName>
    <definedName name="nMAGes_3_022">Standortliste!$T$43</definedName>
    <definedName name="nMAGes_3_023">Standortliste!$T$44</definedName>
    <definedName name="nMAGes_3_024">Standortliste!$T$45</definedName>
    <definedName name="nMAGes_3_025">Standortliste!$T$46</definedName>
    <definedName name="nMAGes_3_026">Standortliste!$T$47</definedName>
    <definedName name="nMAGes_3_027">Standortliste!$T$48</definedName>
    <definedName name="nMAGes_3_028">Standortliste!$T$49</definedName>
    <definedName name="nMAGes_3_029">Standortliste!$T$50</definedName>
    <definedName name="nMAGes_3_030">Standortliste!$T$51</definedName>
    <definedName name="nMAGes_3_031">Standortliste!$T$52</definedName>
    <definedName name="nMAGes_3_032">Standortliste!$T$53</definedName>
    <definedName name="nMAGes_3_033">Standortliste!$T$54</definedName>
    <definedName name="nMAGes_3_034">Standortliste!$T$55</definedName>
    <definedName name="nMAGes_3_035">Standortliste!$T$56</definedName>
    <definedName name="nMAGes_3_036">Standortliste!$T$57</definedName>
    <definedName name="nMAGes_3_037">Standortliste!$T$58</definedName>
    <definedName name="nMAGes_3_038">Standortliste!$T$59</definedName>
    <definedName name="nMAGes_3_039">Standortliste!$T$60</definedName>
    <definedName name="nMAGes_3_040">Standortliste!$T$61</definedName>
    <definedName name="nMAGes_3_041">Standortliste!$T$62</definedName>
    <definedName name="nMAGes_3_042">Standortliste!$T$63</definedName>
    <definedName name="nMAGes_3_043">Standortliste!$T$64</definedName>
    <definedName name="nMAGes_3_044">Standortliste!$T$65</definedName>
    <definedName name="nMAGes_3_045">Standortliste!$T$66</definedName>
    <definedName name="nMAGes_3_046">Standortliste!$T$67</definedName>
    <definedName name="nMAGes_3_047">Standortliste!$T$68</definedName>
    <definedName name="nMAGes_3_048">Standortliste!$T$69</definedName>
    <definedName name="nMAGes_3_049">Standortliste!$T$70</definedName>
    <definedName name="nMAGes_3_050">Standortliste!$T$71</definedName>
    <definedName name="nMAGes_3_051">Standortliste!$T$72</definedName>
    <definedName name="nMAGes_3_052">Standortliste!$U$73</definedName>
    <definedName name="nMAnonA1">Stammdaten!$B$61</definedName>
    <definedName name="nMAnonA2">Stammdaten!$F$61</definedName>
    <definedName name="nMAnonA3">Stammdaten!$J$61</definedName>
    <definedName name="nMAnonAero_1__001">Standortliste!$K$22</definedName>
    <definedName name="nMAnonAero_1__002">Standortliste!$K$23</definedName>
    <definedName name="nMAnonAero_1__003">Standortliste!$K$24</definedName>
    <definedName name="nMAnonAero_1__004">Standortliste!$K$25</definedName>
    <definedName name="nMAnonAero_1__005">Standortliste!$K$26</definedName>
    <definedName name="nMAnonAero_1__006">Standortliste!$K$27</definedName>
    <definedName name="nMAnonAero_1__007">Standortliste!$K$28</definedName>
    <definedName name="nMAnonAero_1__008">Standortliste!$K$29</definedName>
    <definedName name="nMAnonAero_1__009">Standortliste!$K$30</definedName>
    <definedName name="nMAnonAero_1__010">Standortliste!$K$31</definedName>
    <definedName name="nMAnonAero_1__011">Standortliste!$K$32</definedName>
    <definedName name="nMAnonAero_1__012">Standortliste!$K$33</definedName>
    <definedName name="nMAnonAero_1__013">Standortliste!$K$34</definedName>
    <definedName name="nMAnonAero_1__014">Standortliste!$K$35</definedName>
    <definedName name="nMAnonAero_1__015">Standortliste!$K$36</definedName>
    <definedName name="nMAnonAero_1__016">Standortliste!$K$37</definedName>
    <definedName name="nMAnonAero_1__017">Standortliste!$K$38</definedName>
    <definedName name="nMAnonAero_1__018">Standortliste!$K$39</definedName>
    <definedName name="nMAnonAero_1__019">Standortliste!$K$40</definedName>
    <definedName name="nMAnonAero_1__020">Standortliste!$K$41</definedName>
    <definedName name="nMAnonAero_1__021">Standortliste!$K$42</definedName>
    <definedName name="nMAnonAero_1__022">Standortliste!$K$43</definedName>
    <definedName name="nMAnonAero_1__023">Standortliste!$K$44</definedName>
    <definedName name="nMAnonAero_1__024">Standortliste!$K$45</definedName>
    <definedName name="nMAnonAero_1__025">Standortliste!$K$46</definedName>
    <definedName name="nMAnonAero_1__026">Standortliste!$K$47</definedName>
    <definedName name="nMAnonAero_1__027">Standortliste!$K$48</definedName>
    <definedName name="nMAnonAero_1__028">Standortliste!$K$49</definedName>
    <definedName name="nMAnonAero_1__029">Standortliste!$K$50</definedName>
    <definedName name="nMAnonAero_1__030">Standortliste!$K$51</definedName>
    <definedName name="nMAnonAero_1__031">Standortliste!$K$52</definedName>
    <definedName name="nMAnonAero_1__032">Standortliste!$K$53</definedName>
    <definedName name="nMAnonAero_1__033">Standortliste!$K$54</definedName>
    <definedName name="nMAnonAero_1__034">Standortliste!$K$55</definedName>
    <definedName name="nMAnonAero_1__035">Standortliste!$K$56</definedName>
    <definedName name="nMAnonAero_1__036">Standortliste!$K$57</definedName>
    <definedName name="nMAnonAero_1__037">Standortliste!$K$58</definedName>
    <definedName name="nMAnonAero_1__038">Standortliste!$K$59</definedName>
    <definedName name="nMAnonAero_1__039">Standortliste!$K$60</definedName>
    <definedName name="nMAnonAero_1__040">Standortliste!$K$61</definedName>
    <definedName name="nMAnonAero_1__041">Standortliste!$K$62</definedName>
    <definedName name="nMAnonAero_1__042">Standortliste!$K$63</definedName>
    <definedName name="nMAnonAero_1__043">Standortliste!$K$64</definedName>
    <definedName name="nMAnonAero_1__044">Standortliste!$K$65</definedName>
    <definedName name="nMAnonAero_1__045">Standortliste!$K$66</definedName>
    <definedName name="nMAnonAero_1__046">Standortliste!$K$67</definedName>
    <definedName name="nMAnonAero_1__047">Standortliste!$K$68</definedName>
    <definedName name="nMAnonAero_1__048">Standortliste!$K$69</definedName>
    <definedName name="nMAnonAero_1__049">Standortliste!$K$70</definedName>
    <definedName name="nMAnonAero_1__050">Standortliste!$K$71</definedName>
    <definedName name="nMAnonAero_1__051">Standortliste!$K$72</definedName>
    <definedName name="nMAnonAero_2__001">Standortliste!$P$22</definedName>
    <definedName name="nMAnonAero_2__002">Standortliste!$P$23</definedName>
    <definedName name="nMAnonAero_2__003">Standortliste!$P$24</definedName>
    <definedName name="nMAnonAero_2__004">Standortliste!$P$25</definedName>
    <definedName name="nMAnonAero_2__005">Standortliste!$P$26</definedName>
    <definedName name="nMAnonAero_2__006">Standortliste!$P$27</definedName>
    <definedName name="nMAnonAero_2__007">Standortliste!$P$28</definedName>
    <definedName name="nMAnonAero_2__008">Standortliste!$P$29</definedName>
    <definedName name="nMAnonAero_2__009">Standortliste!$P$30</definedName>
    <definedName name="nMAnonAero_2__010">Standortliste!$P$31</definedName>
    <definedName name="nMAnonAero_2__011">Standortliste!$P$32</definedName>
    <definedName name="nMAnonAero_2__012">Standortliste!$P$33</definedName>
    <definedName name="nMAnonAero_2__013">Standortliste!$P$34</definedName>
    <definedName name="nMAnonAero_2__014">Standortliste!$P$35</definedName>
    <definedName name="nMAnonAero_2__015">Standortliste!$P$36</definedName>
    <definedName name="nMAnonAero_2__016">Standortliste!$P$37</definedName>
    <definedName name="nMAnonAero_2__017">Standortliste!$P$38</definedName>
    <definedName name="nMAnonAero_2__018">Standortliste!$P$39</definedName>
    <definedName name="nMAnonAero_2__019">Standortliste!$P$40</definedName>
    <definedName name="nMAnonAero_2__020">Standortliste!$P$41</definedName>
    <definedName name="nMAnonAero_2__021">Standortliste!$P$42</definedName>
    <definedName name="nMAnonAero_2__022">Standortliste!$P$43</definedName>
    <definedName name="nMAnonAero_2__023">Standortliste!$P$44</definedName>
    <definedName name="nMAnonAero_2__024">Standortliste!$P$45</definedName>
    <definedName name="nMAnonAero_2__025">Standortliste!$P$46</definedName>
    <definedName name="nMAnonAero_2__026">Standortliste!$P$47</definedName>
    <definedName name="nMAnonAero_2__027">Standortliste!$P$48</definedName>
    <definedName name="nMAnonAero_2__028">Standortliste!$P$49</definedName>
    <definedName name="nMAnonAero_2__029">Standortliste!$P$50</definedName>
    <definedName name="nMAnonAero_2__030">Standortliste!$P$51</definedName>
    <definedName name="nMAnonAero_2__031">Standortliste!$P$52</definedName>
    <definedName name="nMAnonAero_2__032">Standortliste!$P$53</definedName>
    <definedName name="nMAnonAero_2__033">Standortliste!$P$54</definedName>
    <definedName name="nMAnonAero_2__034">Standortliste!$P$55</definedName>
    <definedName name="nMAnonAero_2__035">Standortliste!$P$56</definedName>
    <definedName name="nMAnonAero_2__036">Standortliste!$P$57</definedName>
    <definedName name="nMAnonAero_2__037">Standortliste!$P$58</definedName>
    <definedName name="nMAnonAero_2__038">Standortliste!$P$59</definedName>
    <definedName name="nMAnonAero_2__039">Standortliste!$P$60</definedName>
    <definedName name="nMAnonAero_2__040">Standortliste!$P$61</definedName>
    <definedName name="nMAnonAero_2__041">Standortliste!$P$62</definedName>
    <definedName name="nMAnonAero_2__042">Standortliste!$P$63</definedName>
    <definedName name="nMAnonAero_2__043">Standortliste!$P$64</definedName>
    <definedName name="nMAnonAero_2__044">Standortliste!$P$65</definedName>
    <definedName name="nMAnonAero_2__045">Standortliste!$P$66</definedName>
    <definedName name="nMAnonAero_2__046">Standortliste!$P$67</definedName>
    <definedName name="nMAnonAero_2__047">Standortliste!$P$68</definedName>
    <definedName name="nMAnonAero_2__048">Standortliste!$P$69</definedName>
    <definedName name="nMAnonAero_2__049">Standortliste!$P$70</definedName>
    <definedName name="nMAnonAero_2__050">Standortliste!$P$71</definedName>
    <definedName name="nMAnonAero_2__051">Standortliste!$P$72</definedName>
    <definedName name="nMAnonAero_3__001">Standortliste!$U$22</definedName>
    <definedName name="nMAnonAero_3__002">Standortliste!$U$23</definedName>
    <definedName name="nMAnonAero_3__003">Standortliste!$U$24</definedName>
    <definedName name="nMAnonAero_3__004">Standortliste!$U$25</definedName>
    <definedName name="nMAnonAero_3__005">Standortliste!$U$26</definedName>
    <definedName name="nMAnonAero_3__006">Standortliste!$U$27</definedName>
    <definedName name="nMAnonAero_3__007">Standortliste!$U$28</definedName>
    <definedName name="nMAnonAero_3__008">Standortliste!$U$29</definedName>
    <definedName name="nMAnonAero_3__009">Standortliste!$U$30</definedName>
    <definedName name="nMAnonAero_3__010">Standortliste!$U$31</definedName>
    <definedName name="nMAnonAero_3__011">Standortliste!$U$32</definedName>
    <definedName name="nMAnonAero_3__012">Standortliste!$U$33</definedName>
    <definedName name="nMAnonAero_3__013">Standortliste!$U$34</definedName>
    <definedName name="nMAnonAero_3__014">Standortliste!$U$35</definedName>
    <definedName name="nMAnonAero_3__015">Standortliste!$U$36</definedName>
    <definedName name="nMAnonAero_3__016">Standortliste!$U$37</definedName>
    <definedName name="nMAnonAero_3__017">Standortliste!$U$38</definedName>
    <definedName name="nMAnonAero_3__018">Standortliste!$U$39</definedName>
    <definedName name="nMAnonAero_3__019">Standortliste!$U$40</definedName>
    <definedName name="nMAnonAero_3__020">Standortliste!$U$41</definedName>
    <definedName name="nMAnonAero_3__021">Standortliste!$U$42</definedName>
    <definedName name="nMAnonAero_3__022">Standortliste!$U$43</definedName>
    <definedName name="nMAnonAero_3__023">Standortliste!$U$44</definedName>
    <definedName name="nMAnonAero_3__024">Standortliste!$U$45</definedName>
    <definedName name="nMAnonAero_3__025">Standortliste!$U$46</definedName>
    <definedName name="nMAnonAero_3__026">Standortliste!$U$47</definedName>
    <definedName name="nMAnonAero_3__027">Standortliste!$U$48</definedName>
    <definedName name="nMAnonAero_3__028">Standortliste!$U$49</definedName>
    <definedName name="nMAnonAero_3__029">Standortliste!$U$50</definedName>
    <definedName name="nMAnonAero_3__030">Standortliste!$U$51</definedName>
    <definedName name="nMAnonAero_3__031">Standortliste!$U$52</definedName>
    <definedName name="nMAnonAero_3__032">Standortliste!$U$53</definedName>
    <definedName name="nMAnonAero_3__033">Standortliste!$U$54</definedName>
    <definedName name="nMAnonAero_3__034">Standortliste!$U$55</definedName>
    <definedName name="nMAnonAero_3__035">Standortliste!$U$56</definedName>
    <definedName name="nMAnonAero_3__036">Standortliste!$U$57</definedName>
    <definedName name="nMAnonAero_3__037">Standortliste!$U$58</definedName>
    <definedName name="nMAnonAero_3__038">Standortliste!$U$59</definedName>
    <definedName name="nMAnonAero_3__039">Standortliste!$U$60</definedName>
    <definedName name="nMAnonAero_3__040">Standortliste!$U$61</definedName>
    <definedName name="nMAnonAero_3__041">Standortliste!$U$62</definedName>
    <definedName name="nMAnonAero_3__042">Standortliste!$U$63</definedName>
    <definedName name="nMAnonAero_3__043">Standortliste!$U$64</definedName>
    <definedName name="nMAnonAero_3__044">Standortliste!$U$65</definedName>
    <definedName name="nMAnonAero_3__045">Standortliste!$U$66</definedName>
    <definedName name="nMAnonAero_3__046">Standortliste!$U$67</definedName>
    <definedName name="nMAnonAero_3__047">Standortliste!$U$68</definedName>
    <definedName name="nMAnonAero_3__048">Standortliste!$U$69</definedName>
    <definedName name="nMAnonAero_3__049">Standortliste!$U$70</definedName>
    <definedName name="nMAnonAero_3__050">Standortliste!$U$71</definedName>
    <definedName name="nMAnonAero_3__051">Standortliste!$U$72</definedName>
    <definedName name="NoScope">Daten!$Q$45</definedName>
    <definedName name="nShfit1J">Stammdaten!$D$61</definedName>
    <definedName name="nShfit2J">Stammdaten!$H$61</definedName>
    <definedName name="nShfit3J">Stammdaten!$L$61</definedName>
    <definedName name="Number_1">Addition!$C$12</definedName>
    <definedName name="Number_2">Addition!$E$12</definedName>
    <definedName name="Number_3">Addition!$G$12</definedName>
    <definedName name="Number1">Stammdaten!$G$52</definedName>
    <definedName name="Number2">Stammdaten!$G$53</definedName>
    <definedName name="Number3">Stammdaten!$G$54</definedName>
    <definedName name="OASISAdimPosition">Stammdaten!$I$27</definedName>
    <definedName name="OASISAdmin">Stammdaten!$B$27</definedName>
    <definedName name="OASISAdminEMail">Stammdaten!$I$29</definedName>
    <definedName name="OASISAdminTelefax">Stammdaten!$E$29</definedName>
    <definedName name="OASISAdminTelefon">Stammdaten!$B$29</definedName>
    <definedName name="OIN">Stammdaten!$G$69</definedName>
    <definedName name="OIN__001">Standortliste!$C$22</definedName>
    <definedName name="OIN__002">Standortliste!$C$23</definedName>
    <definedName name="OIN__003">Standortliste!$C$24</definedName>
    <definedName name="OIN__004">Standortliste!$C$25</definedName>
    <definedName name="OIN__005">Standortliste!$C$26</definedName>
    <definedName name="OIN__006">Standortliste!$C$27</definedName>
    <definedName name="OIN__007">Standortliste!$C$28</definedName>
    <definedName name="OIN__008">Standortliste!$C$29</definedName>
    <definedName name="OIN__009">Standortliste!$C$30</definedName>
    <definedName name="OIN__010">Standortliste!$C$31</definedName>
    <definedName name="OIN__011">Standortliste!$C$32</definedName>
    <definedName name="OIN__012">Standortliste!$C$33</definedName>
    <definedName name="OIN__013">Standortliste!$C$34</definedName>
    <definedName name="OIN__014">Standortliste!$C$35</definedName>
    <definedName name="OIN__015">Standortliste!$C$36</definedName>
    <definedName name="OIN__016">Standortliste!$C$37</definedName>
    <definedName name="OIN__017">Standortliste!$C$38</definedName>
    <definedName name="OIN__018">Standortliste!$C$39</definedName>
    <definedName name="OIN__019">Standortliste!$C$40</definedName>
    <definedName name="OIN__020">Standortliste!$C$41</definedName>
    <definedName name="OIN__021">Standortliste!$C$42</definedName>
    <definedName name="OIN__022">Standortliste!$C$43</definedName>
    <definedName name="OIN__023">Standortliste!$C$44</definedName>
    <definedName name="OIN__024">Standortliste!$C$45</definedName>
    <definedName name="OIN__025">Standortliste!$C$46</definedName>
    <definedName name="OIN__026">Standortliste!$C$47</definedName>
    <definedName name="OIN__027">Standortliste!$C$48</definedName>
    <definedName name="OIN__028">Standortliste!$C$49</definedName>
    <definedName name="OIN__029">Standortliste!$C$50</definedName>
    <definedName name="OIN__030">Standortliste!$C$51</definedName>
    <definedName name="OIN__031">Standortliste!$C$52</definedName>
    <definedName name="OIN__032">Standortliste!$C$53</definedName>
    <definedName name="OIN__033">Standortliste!$C$54</definedName>
    <definedName name="OIN__034">Standortliste!$C$55</definedName>
    <definedName name="OIN__035">Standortliste!$C$56</definedName>
    <definedName name="OIN__036">Standortliste!$C$57</definedName>
    <definedName name="OIN__037">Standortliste!$C$58</definedName>
    <definedName name="OIN__038">Standortliste!$C$59</definedName>
    <definedName name="OIN__039">Standortliste!$C$60</definedName>
    <definedName name="OIN__040">Standortliste!$C$61</definedName>
    <definedName name="OIN__041">Standortliste!$C$62</definedName>
    <definedName name="OIN__042">Standortliste!$C$63</definedName>
    <definedName name="OIN__043">Standortliste!$C$64</definedName>
    <definedName name="OIN__044">Standortliste!$C$65</definedName>
    <definedName name="OIN__045">Standortliste!$C$66</definedName>
    <definedName name="OIN__046">Standortliste!$C$67</definedName>
    <definedName name="OIN__047">Standortliste!$C$68</definedName>
    <definedName name="OIN__048">Standortliste!$C$69</definedName>
    <definedName name="OIN__049">Standortliste!$C$70</definedName>
    <definedName name="OIN__050">Standortliste!$C$71</definedName>
    <definedName name="OIN__051">Standortliste!$C$72</definedName>
    <definedName name="OneProc_1">Addition!$C$16</definedName>
    <definedName name="OneProc_2">Addition!$E$16</definedName>
    <definedName name="OneProc_3">Addition!$G$16</definedName>
    <definedName name="Ort">Stammdaten!$E$11</definedName>
    <definedName name="OtherCB">Stammdaten!$E$84</definedName>
    <definedName name="Part145">Stammdaten!$L$41</definedName>
    <definedName name="Part145__001">Standortliste!$H$22</definedName>
    <definedName name="Part145__002">Standortliste!$H$23</definedName>
    <definedName name="Part145__003">Standortliste!$H$24</definedName>
    <definedName name="Part145__004">Standortliste!$H$25</definedName>
    <definedName name="Part145__005">Standortliste!$H$26</definedName>
    <definedName name="Part145__006">Standortliste!$H$27</definedName>
    <definedName name="Part145__007">Standortliste!$H$28</definedName>
    <definedName name="Part145__008">Standortliste!$H$29</definedName>
    <definedName name="Part145__009">Standortliste!$H$30</definedName>
    <definedName name="Part145__010">Standortliste!$H$31</definedName>
    <definedName name="Part145__011">Standortliste!$H$32</definedName>
    <definedName name="Part145__012">Standortliste!$H$33</definedName>
    <definedName name="Part145__013">Standortliste!$H$34</definedName>
    <definedName name="Part145__014">Standortliste!$H$35</definedName>
    <definedName name="Part145__015">Standortliste!$H$36</definedName>
    <definedName name="Part145__016">Standortliste!$H$37</definedName>
    <definedName name="Part145__017">Standortliste!$H$38</definedName>
    <definedName name="Part145__018">Standortliste!$H$39</definedName>
    <definedName name="Part145__019">Standortliste!$H$40</definedName>
    <definedName name="Part145__020">Standortliste!$H$41</definedName>
    <definedName name="Part145__021">Standortliste!$H$42</definedName>
    <definedName name="Part145__022">Standortliste!$H$43</definedName>
    <definedName name="Part145__023">Standortliste!$H$44</definedName>
    <definedName name="Part145__024">Standortliste!$H$45</definedName>
    <definedName name="Part145__025">Standortliste!$H$46</definedName>
    <definedName name="Part145__026">Standortliste!$H$47</definedName>
    <definedName name="Part145__027">Standortliste!$H$48</definedName>
    <definedName name="Part145__028">Standortliste!$H$49</definedName>
    <definedName name="Part145__029">Standortliste!$H$50</definedName>
    <definedName name="Part145__030">Standortliste!$H$51</definedName>
    <definedName name="Part145__031">Standortliste!$H$52</definedName>
    <definedName name="Part145__032">Standortliste!$H$53</definedName>
    <definedName name="Part145__033">Standortliste!$H$54</definedName>
    <definedName name="Part145__034">Standortliste!$H$55</definedName>
    <definedName name="Part145__035">Standortliste!$H$56</definedName>
    <definedName name="Part145__036">Standortliste!$H$57</definedName>
    <definedName name="Part145__037">Standortliste!$H$58</definedName>
    <definedName name="Part145__038">Standortliste!$H$59</definedName>
    <definedName name="Part145__039">Standortliste!$H$60</definedName>
    <definedName name="Part145__040">Standortliste!$H$61</definedName>
    <definedName name="Part145__041">Standortliste!$H$62</definedName>
    <definedName name="Part145__042">Standortliste!$H$63</definedName>
    <definedName name="Part145__043">Standortliste!$H$64</definedName>
    <definedName name="Part145__044">Standortliste!$H$65</definedName>
    <definedName name="Part145__045">Standortliste!$H$66</definedName>
    <definedName name="Part145__046">Standortliste!$H$67</definedName>
    <definedName name="Part145__047">Standortliste!$H$68</definedName>
    <definedName name="Part145__048">Standortliste!$H$69</definedName>
    <definedName name="Part145__049">Standortliste!$H$70</definedName>
    <definedName name="Part145__050">Standortliste!$H$71</definedName>
    <definedName name="Part145__051">Standortliste!$H$72</definedName>
    <definedName name="Part21G">Stammdaten!$H$41</definedName>
    <definedName name="Part21G__001">Standortliste!$G$22</definedName>
    <definedName name="Part21G__002">Standortliste!$G$23</definedName>
    <definedName name="Part21G__003">Standortliste!$G$24</definedName>
    <definedName name="Part21G__004">Standortliste!$G$25</definedName>
    <definedName name="Part21G__005">Standortliste!$G$26</definedName>
    <definedName name="Part21G__006">Standortliste!$G$27</definedName>
    <definedName name="Part21G__007">Standortliste!$G$28</definedName>
    <definedName name="Part21G__008">Standortliste!$G$29</definedName>
    <definedName name="Part21G__009">Standortliste!$G$30</definedName>
    <definedName name="Part21G__010">Standortliste!$G$31</definedName>
    <definedName name="Part21G__011">Standortliste!$G$32</definedName>
    <definedName name="Part21G__012">Standortliste!$G$33</definedName>
    <definedName name="Part21G__013">Standortliste!$G$34</definedName>
    <definedName name="Part21G__014">Standortliste!$G$35</definedName>
    <definedName name="Part21G__015">Standortliste!$G$36</definedName>
    <definedName name="Part21G__016">Standortliste!$G$37</definedName>
    <definedName name="Part21G__017">Standortliste!$G$38</definedName>
    <definedName name="Part21G__018">Standortliste!$G$39</definedName>
    <definedName name="Part21G__019">Standortliste!$G$40</definedName>
    <definedName name="Part21G__020">Standortliste!$G$41</definedName>
    <definedName name="Part21G__021">Standortliste!$G$42</definedName>
    <definedName name="Part21G__022">Standortliste!$G$43</definedName>
    <definedName name="Part21G__023">Standortliste!$G$44</definedName>
    <definedName name="Part21G__024">Standortliste!$G$45</definedName>
    <definedName name="Part21G__025">Standortliste!$G$46</definedName>
    <definedName name="Part21G__026">Standortliste!$G$47</definedName>
    <definedName name="Part21G__027">Standortliste!$G$48</definedName>
    <definedName name="Part21G__028">Standortliste!$G$49</definedName>
    <definedName name="Part21G__029">Standortliste!$G$50</definedName>
    <definedName name="Part21G__030">Standortliste!$G$51</definedName>
    <definedName name="Part21G__031">Standortliste!$G$52</definedName>
    <definedName name="Part21G__032">Standortliste!$G$53</definedName>
    <definedName name="Part21G__033">Standortliste!$G$54</definedName>
    <definedName name="Part21G__034">Standortliste!$G$55</definedName>
    <definedName name="Part21G__035">Standortliste!$G$56</definedName>
    <definedName name="Part21G__036">Standortliste!$G$57</definedName>
    <definedName name="Part21G__037">Standortliste!$G$58</definedName>
    <definedName name="Part21G__038">Standortliste!$G$59</definedName>
    <definedName name="Part21G__039">Standortliste!$G$60</definedName>
    <definedName name="Part21G__040">Standortliste!$G$61</definedName>
    <definedName name="Part21G__041">Standortliste!$G$62</definedName>
    <definedName name="Part21G__042">Standortliste!$G$63</definedName>
    <definedName name="Part21G__043">Standortliste!$G$64</definedName>
    <definedName name="Part21G__044">Standortliste!$G$65</definedName>
    <definedName name="Part21G__045">Standortliste!$G$66</definedName>
    <definedName name="Part21G__046">Standortliste!$G$67</definedName>
    <definedName name="Part21G__047">Standortliste!$G$68</definedName>
    <definedName name="Part21G__048">Standortliste!$G$69</definedName>
    <definedName name="Part21G__049">Standortliste!$G$70</definedName>
    <definedName name="Part21G__050">Standortliste!$G$71</definedName>
    <definedName name="Part21G__051">Standortliste!$G$72</definedName>
    <definedName name="Part21J">Stammdaten!$D$41</definedName>
    <definedName name="Part21J__001">Standortliste!$F$22</definedName>
    <definedName name="Part21J__002">Standortliste!$F$23</definedName>
    <definedName name="Part21J__003">Standortliste!$F$24</definedName>
    <definedName name="Part21J__004">Standortliste!$F$25</definedName>
    <definedName name="Part21J__005">Standortliste!$F$26</definedName>
    <definedName name="Part21J__006">Standortliste!$F$27</definedName>
    <definedName name="Part21J__007">Standortliste!$F$28</definedName>
    <definedName name="Part21J__008">Standortliste!$F$29</definedName>
    <definedName name="Part21J__009">Standortliste!$F$30</definedName>
    <definedName name="Part21J__010">Standortliste!$F$31</definedName>
    <definedName name="Part21J__011">Standortliste!$F$32</definedName>
    <definedName name="Part21J__012">Standortliste!$F$33</definedName>
    <definedName name="Part21J__013">Standortliste!$F$34</definedName>
    <definedName name="Part21J__014">Standortliste!$F$35</definedName>
    <definedName name="Part21J__015">Standortliste!$F$36</definedName>
    <definedName name="Part21J__016">Standortliste!$F$37</definedName>
    <definedName name="Part21J__017">Standortliste!$F$38</definedName>
    <definedName name="Part21J__018">Standortliste!$F$39</definedName>
    <definedName name="Part21J__019">Standortliste!$F$40</definedName>
    <definedName name="Part21J__020">Standortliste!$F$41</definedName>
    <definedName name="Part21J__021">Standortliste!$F$42</definedName>
    <definedName name="Part21J__022">Standortliste!$F$43</definedName>
    <definedName name="Part21J__023">Standortliste!$F$44</definedName>
    <definedName name="Part21J__024">Standortliste!$F$45</definedName>
    <definedName name="Part21J__025">Standortliste!$F$46</definedName>
    <definedName name="Part21J__026">Standortliste!$F$47</definedName>
    <definedName name="Part21J__027">Standortliste!$F$48</definedName>
    <definedName name="Part21J__028">Standortliste!$F$49</definedName>
    <definedName name="Part21J__029">Standortliste!$F$50</definedName>
    <definedName name="Part21J__030">Standortliste!$F$51</definedName>
    <definedName name="Part21J__031">Standortliste!$F$52</definedName>
    <definedName name="Part21J__032">Standortliste!$F$53</definedName>
    <definedName name="Part21J__033">Standortliste!$F$54</definedName>
    <definedName name="Part21J__034">Standortliste!$F$55</definedName>
    <definedName name="Part21J__035">Standortliste!$F$56</definedName>
    <definedName name="Part21J__036">Standortliste!$F$57</definedName>
    <definedName name="Part21J__037">Standortliste!$F$58</definedName>
    <definedName name="Part21J__038">Standortliste!$F$59</definedName>
    <definedName name="Part21J__039">Standortliste!$F$60</definedName>
    <definedName name="Part21J__040">Standortliste!$F$61</definedName>
    <definedName name="Part21J__041">Standortliste!$F$62</definedName>
    <definedName name="Part21J__042">Standortliste!$F$63</definedName>
    <definedName name="Part21J__043">Standortliste!$F$64</definedName>
    <definedName name="Part21J__044">Standortliste!$F$65</definedName>
    <definedName name="Part21J__045">Standortliste!$F$66</definedName>
    <definedName name="Part21J__046">Standortliste!$F$67</definedName>
    <definedName name="Part21J__047">Standortliste!$F$68</definedName>
    <definedName name="Part21J__048">Standortliste!$F$69</definedName>
    <definedName name="Part21J__049">Standortliste!$F$70</definedName>
    <definedName name="Part21J__050">Standortliste!$F$71</definedName>
    <definedName name="Part21J__051">Standortliste!$F$72</definedName>
    <definedName name="PlanTransfer">Stammdaten!$K$86</definedName>
    <definedName name="PLZ">Stammdaten!$C$11</definedName>
    <definedName name="PMAktiv">Daten!$BC$2:$BC$3</definedName>
    <definedName name="Position">Stammdaten!$I$23</definedName>
    <definedName name="PrepRecAnteil">Daten!$A$14</definedName>
    <definedName name="PrepRecISO">Daten!$A$15</definedName>
    <definedName name="PrepRecMin">Daten!$A$12</definedName>
    <definedName name="PrepRecMinRZ">Daten!$A$16</definedName>
    <definedName name="PrepRecRundung">Daten!$A$13</definedName>
    <definedName name="_xlnm.Print_Area" localSheetId="2">Auditteam!$A$1:$L$29</definedName>
    <definedName name="_xlnm.Print_Area" localSheetId="6">Bemerkungen!$A$1:$K$57</definedName>
    <definedName name="_xlnm.Print_Area" localSheetId="0">Stammdaten!$A$1:$L$91</definedName>
    <definedName name="_xlnm.Print_Area" localSheetId="1">Standortliste!$A$1:$AK$72</definedName>
    <definedName name="_xlnm.Print_Area" localSheetId="4">Upgrade2016!$A$1:$J$19</definedName>
    <definedName name="Programmanpassung">Daten!$AL$2:$AL$3</definedName>
    <definedName name="QMSprache">Stammdaten!$I$35</definedName>
    <definedName name="QName">Daten!$A$8</definedName>
    <definedName name="QRev">Daten!$A$9</definedName>
    <definedName name="Rahmenvertrag">Stammdaten!$I$15</definedName>
    <definedName name="RegularTransfer">Stammdaten!$K$88</definedName>
    <definedName name="Reloc_1">Addition!$C$15</definedName>
    <definedName name="Reloc_2">Addition!$E$15</definedName>
    <definedName name="Reloc_3">Addition!$G$15</definedName>
    <definedName name="ReNew__001">Standortliste!$I$22</definedName>
    <definedName name="ReNew__002">Standortliste!$I$23</definedName>
    <definedName name="ReNew__003">Standortliste!$I$24</definedName>
    <definedName name="ReNew__004">Standortliste!$I$25</definedName>
    <definedName name="ReNew__005">Standortliste!$I$26</definedName>
    <definedName name="ReNew__006">Standortliste!$I$27</definedName>
    <definedName name="ReNew__007">Standortliste!$I$28</definedName>
    <definedName name="ReNew__008">Standortliste!$I$29</definedName>
    <definedName name="ReNew__009">Standortliste!$I$30</definedName>
    <definedName name="ReNew__010">Standortliste!$I$31</definedName>
    <definedName name="ReNew__011">Standortliste!$I$32</definedName>
    <definedName name="ReNew__012">Standortliste!$I$33</definedName>
    <definedName name="ReNew__013">Standortliste!$I$34</definedName>
    <definedName name="ReNew__014">Standortliste!$I$35</definedName>
    <definedName name="ReNew__015">Standortliste!$I$36</definedName>
    <definedName name="ReNew__016">Standortliste!$I$37</definedName>
    <definedName name="ReNew__017">Standortliste!$I$38</definedName>
    <definedName name="ReNew__018">Standortliste!$I$39</definedName>
    <definedName name="ReNew__019">Standortliste!$I$40</definedName>
    <definedName name="ReNew__020">Standortliste!$I$41</definedName>
    <definedName name="ReNew__021">Standortliste!$I$42</definedName>
    <definedName name="ReNew__022">Standortliste!$I$43</definedName>
    <definedName name="ReNew__023">Standortliste!$I$44</definedName>
    <definedName name="ReNew__024">Standortliste!$I$45</definedName>
    <definedName name="ReNew__025">Standortliste!$I$46</definedName>
    <definedName name="ReNew__026">Standortliste!$I$47</definedName>
    <definedName name="ReNew__027">Standortliste!$I$48</definedName>
    <definedName name="ReNew__028">Standortliste!$I$49</definedName>
    <definedName name="ReNew__029">Standortliste!$I$50</definedName>
    <definedName name="ReNew__030">Standortliste!$I$51</definedName>
    <definedName name="ReNew__031">Standortliste!$I$52</definedName>
    <definedName name="ReNew__032">Standortliste!$I$53</definedName>
    <definedName name="ReNew__033">Standortliste!$I$54</definedName>
    <definedName name="ReNew__034">Standortliste!$I$55</definedName>
    <definedName name="ReNew__035">Standortliste!$I$56</definedName>
    <definedName name="ReNew__036">Standortliste!$I$57</definedName>
    <definedName name="ReNew__037">Standortliste!$I$58</definedName>
    <definedName name="ReNew__038">Standortliste!$I$59</definedName>
    <definedName name="ReNew__039">Standortliste!$I$60</definedName>
    <definedName name="ReNew__040">Standortliste!$I$61</definedName>
    <definedName name="ReNew__041">Standortliste!$I$62</definedName>
    <definedName name="ReNew__042">Standortliste!$I$63</definedName>
    <definedName name="ReNew__043">Standortliste!$I$64</definedName>
    <definedName name="ReNew__044">Standortliste!$I$65</definedName>
    <definedName name="ReNew__045">Standortliste!$I$66</definedName>
    <definedName name="ReNew__046">Standortliste!$I$67</definedName>
    <definedName name="ReNew__047">Standortliste!$I$68</definedName>
    <definedName name="ReNew__048">Standortliste!$I$69</definedName>
    <definedName name="ReNew__049">Standortliste!$I$70</definedName>
    <definedName name="ReNew__050">Standortliste!$I$71</definedName>
    <definedName name="ReNew__051">Standortliste!$I$72</definedName>
    <definedName name="Restlaufzeit">Stammdaten!$K$89</definedName>
    <definedName name="Rezertifizierung">Daten!$U$3</definedName>
    <definedName name="RS">Daten!$AR$5</definedName>
    <definedName name="SA_1">Daten!$Y$2</definedName>
    <definedName name="SA_2">Daten!$Y$3</definedName>
    <definedName name="ScheduledAudit">Upgrade2016!$C$10</definedName>
    <definedName name="Scope">Stammdaten!$C$17</definedName>
    <definedName name="Scope9001_001">Standortliste!$AP$22</definedName>
    <definedName name="Scope9001_002">Standortliste!$AP$23</definedName>
    <definedName name="Scope9001_003">Standortliste!$AP$24</definedName>
    <definedName name="Scope9001_004">Standortliste!$AP$25</definedName>
    <definedName name="Scope9001_005">Standortliste!$AP$26</definedName>
    <definedName name="Scope9001_006">Standortliste!$AP$27</definedName>
    <definedName name="Scope9001_007">Standortliste!$AP$28</definedName>
    <definedName name="Scope9001_008">Standortliste!$AP$29</definedName>
    <definedName name="Scope9001_009">Standortliste!$AP$30</definedName>
    <definedName name="Scope9001_010">Standortliste!$AP$31</definedName>
    <definedName name="Scope9001_011">Standortliste!$AP$32</definedName>
    <definedName name="Scope9001_012">Standortliste!$AP$33</definedName>
    <definedName name="Scope9001_013">Standortliste!$AP$34</definedName>
    <definedName name="Scope9001_014">Standortliste!$AP$35</definedName>
    <definedName name="Scope9001_015">Standortliste!$AP$36</definedName>
    <definedName name="Scope9001_016">Standortliste!$AP$37</definedName>
    <definedName name="Scope9001_017">Standortliste!$AP$38</definedName>
    <definedName name="Scope9001_018">Standortliste!$AP$39</definedName>
    <definedName name="Scope9001_019">Standortliste!$AP$40</definedName>
    <definedName name="Scope9001_020">Standortliste!$AP$41</definedName>
    <definedName name="Scope9001_021">Standortliste!$AP$42</definedName>
    <definedName name="Scope9001_022">Standortliste!$AP$43</definedName>
    <definedName name="Scope9001_023">Standortliste!$AP$44</definedName>
    <definedName name="Scope9001_024">Standortliste!$AP$45</definedName>
    <definedName name="Scope9001_025">Standortliste!$AP$46</definedName>
    <definedName name="Scope9001_026">Standortliste!$AP$47</definedName>
    <definedName name="Scope9001_027">Standortliste!$AP$48</definedName>
    <definedName name="Scope9001_028">Standortliste!$AP$49</definedName>
    <definedName name="Scope9001_029">Standortliste!$AP$50</definedName>
    <definedName name="Scope9001_030">Standortliste!$AP$51</definedName>
    <definedName name="Scope9001_031">Standortliste!$AP$52</definedName>
    <definedName name="Scope9001_032">Standortliste!$AP$53</definedName>
    <definedName name="Scope9001_033">Standortliste!$AP$54</definedName>
    <definedName name="Scope9001_034">Standortliste!$AP$55</definedName>
    <definedName name="Scope9001_035">Standortliste!$AP$56</definedName>
    <definedName name="Scope9001_036">Standortliste!$AP$57</definedName>
    <definedName name="Scope9001_037">Standortliste!$AP$58</definedName>
    <definedName name="Scope9001_038">Standortliste!$AP$59</definedName>
    <definedName name="Scope9001_039">Standortliste!$AP$60</definedName>
    <definedName name="Scope9001_040">Standortliste!$AP$61</definedName>
    <definedName name="Scope9001_041">Standortliste!$AP$62</definedName>
    <definedName name="Scope9001_042">Standortliste!$AP$63</definedName>
    <definedName name="Scope9001_043">Standortliste!$AP$64</definedName>
    <definedName name="Scope9001_044">Standortliste!$AP$65</definedName>
    <definedName name="Scope9001_045">Standortliste!$AP$66</definedName>
    <definedName name="Scope9001_046">Standortliste!$AP$67</definedName>
    <definedName name="Scope9001_047">Standortliste!$AP$68</definedName>
    <definedName name="Scope9001_048">Standortliste!$AP$69</definedName>
    <definedName name="Scope9001_049">Standortliste!$AP$70</definedName>
    <definedName name="Scope9001_050">Standortliste!$AP$71</definedName>
    <definedName name="Scope9001_051">Standortliste!$AP$72</definedName>
    <definedName name="Scope9001_052">Standortliste!$AO$73</definedName>
    <definedName name="Scope9100_001">Standortliste!$AM$22</definedName>
    <definedName name="Scope9100_002">Standortliste!$AM$23</definedName>
    <definedName name="Scope9100_003">Standortliste!$AM$24</definedName>
    <definedName name="Scope9100_004">Standortliste!$AM$25</definedName>
    <definedName name="Scope9100_005">Standortliste!$AM$26</definedName>
    <definedName name="Scope9100_006">Standortliste!$AM$27</definedName>
    <definedName name="Scope9100_007">Standortliste!$AM$28</definedName>
    <definedName name="Scope9100_008">Standortliste!$AM$29</definedName>
    <definedName name="Scope9100_009">Standortliste!$AM$30</definedName>
    <definedName name="Scope9100_010">Standortliste!$AM$31</definedName>
    <definedName name="Scope9100_011">Standortliste!$AM$32</definedName>
    <definedName name="Scope9100_012">Standortliste!$AM$33</definedName>
    <definedName name="Scope9100_013">Standortliste!$AM$34</definedName>
    <definedName name="Scope9100_014">Standortliste!$AM$35</definedName>
    <definedName name="Scope9100_015">Standortliste!$AM$36</definedName>
    <definedName name="Scope9100_016">Standortliste!$AM$37</definedName>
    <definedName name="Scope9100_017">Standortliste!$AM$38</definedName>
    <definedName name="Scope9100_018">Standortliste!$AM$39</definedName>
    <definedName name="Scope9100_019">Standortliste!$AM$40</definedName>
    <definedName name="Scope9100_020">Standortliste!$AM$41</definedName>
    <definedName name="Scope9100_021">Standortliste!$AM$42</definedName>
    <definedName name="Scope9100_022">Standortliste!$AM$43</definedName>
    <definedName name="Scope9100_023">Standortliste!$AM$44</definedName>
    <definedName name="Scope9100_024">Standortliste!$AM$45</definedName>
    <definedName name="Scope9100_025">Standortliste!$AM$46</definedName>
    <definedName name="Scope9100_026">Standortliste!$AM$47</definedName>
    <definedName name="Scope9100_027">Standortliste!$AM$48</definedName>
    <definedName name="Scope9100_028">Standortliste!$AM$49</definedName>
    <definedName name="Scope9100_029">Standortliste!$AM$50</definedName>
    <definedName name="Scope9100_030">Standortliste!$AM$51</definedName>
    <definedName name="Scope9100_031">Standortliste!$AM$52</definedName>
    <definedName name="Scope9100_032">Standortliste!$AM$53</definedName>
    <definedName name="Scope9100_033">Standortliste!$AM$54</definedName>
    <definedName name="Scope9100_034">Standortliste!$AM$55</definedName>
    <definedName name="Scope9100_035">Standortliste!$AM$56</definedName>
    <definedName name="Scope9100_036">Standortliste!$AM$57</definedName>
    <definedName name="Scope9100_037">Standortliste!$AM$58</definedName>
    <definedName name="Scope9100_038">Standortliste!$AM$59</definedName>
    <definedName name="Scope9100_039">Standortliste!$AM$60</definedName>
    <definedName name="Scope9100_040">Standortliste!$AM$61</definedName>
    <definedName name="Scope9100_041">Standortliste!$AM$62</definedName>
    <definedName name="Scope9100_042">Standortliste!$AM$63</definedName>
    <definedName name="Scope9100_043">Standortliste!$AM$64</definedName>
    <definedName name="Scope9100_044">Standortliste!$AM$65</definedName>
    <definedName name="Scope9100_045">Standortliste!$AM$66</definedName>
    <definedName name="Scope9100_046">Standortliste!$AM$67</definedName>
    <definedName name="Scope9100_047">Standortliste!$AM$68</definedName>
    <definedName name="Scope9100_048">Standortliste!$AM$69</definedName>
    <definedName name="Scope9100_049">Standortliste!$AM$70</definedName>
    <definedName name="Scope9100_050">Standortliste!$AM$71</definedName>
    <definedName name="Scope9100_051">Standortliste!$AM$72</definedName>
    <definedName name="Scope9100_052">Standortliste!$AL$73</definedName>
    <definedName name="Scope9110_001">Standortliste!$AN$22</definedName>
    <definedName name="Scope9110_002">Standortliste!$AN$23</definedName>
    <definedName name="Scope9110_003">Standortliste!$AN$24</definedName>
    <definedName name="Scope9110_004">Standortliste!$AN$25</definedName>
    <definedName name="Scope9110_005">Standortliste!$AN$26</definedName>
    <definedName name="Scope9110_006">Standortliste!$AN$27</definedName>
    <definedName name="Scope9110_007">Standortliste!$AN$28</definedName>
    <definedName name="Scope9110_008">Standortliste!$AN$29</definedName>
    <definedName name="Scope9110_009">Standortliste!$AN$30</definedName>
    <definedName name="Scope9110_010">Standortliste!$AN$31</definedName>
    <definedName name="Scope9110_011">Standortliste!$AN$32</definedName>
    <definedName name="Scope9110_012">Standortliste!$AN$33</definedName>
    <definedName name="Scope9110_013">Standortliste!$AN$34</definedName>
    <definedName name="Scope9110_014">Standortliste!$AN$35</definedName>
    <definedName name="Scope9110_015">Standortliste!$AN$36</definedName>
    <definedName name="Scope9110_016">Standortliste!$AN$37</definedName>
    <definedName name="Scope9110_017">Standortliste!$AN$38</definedName>
    <definedName name="Scope9110_018">Standortliste!$AN$39</definedName>
    <definedName name="Scope9110_019">Standortliste!$AN$40</definedName>
    <definedName name="Scope9110_020">Standortliste!$AN$41</definedName>
    <definedName name="Scope9110_021">Standortliste!$AN$42</definedName>
    <definedName name="Scope9110_022">Standortliste!$AN$43</definedName>
    <definedName name="Scope9110_023">Standortliste!$AN$44</definedName>
    <definedName name="Scope9110_024">Standortliste!$AN$45</definedName>
    <definedName name="Scope9110_025">Standortliste!$AN$46</definedName>
    <definedName name="Scope9110_026">Standortliste!$AN$47</definedName>
    <definedName name="Scope9110_027">Standortliste!$AN$48</definedName>
    <definedName name="Scope9110_028">Standortliste!$AN$49</definedName>
    <definedName name="Scope9110_029">Standortliste!$AN$50</definedName>
    <definedName name="Scope9110_030">Standortliste!$AN$51</definedName>
    <definedName name="Scope9110_031">Standortliste!$AN$52</definedName>
    <definedName name="Scope9110_032">Standortliste!$AN$53</definedName>
    <definedName name="Scope9110_033">Standortliste!$AN$54</definedName>
    <definedName name="Scope9110_034">Standortliste!$AN$55</definedName>
    <definedName name="Scope9110_035">Standortliste!$AN$56</definedName>
    <definedName name="Scope9110_036">Standortliste!$AN$57</definedName>
    <definedName name="Scope9110_037">Standortliste!$AN$58</definedName>
    <definedName name="Scope9110_038">Standortliste!$AN$59</definedName>
    <definedName name="Scope9110_039">Standortliste!$AN$60</definedName>
    <definedName name="Scope9110_040">Standortliste!$AN$61</definedName>
    <definedName name="Scope9110_041">Standortliste!$AN$62</definedName>
    <definedName name="Scope9110_042">Standortliste!$AN$63</definedName>
    <definedName name="Scope9110_043">Standortliste!$AN$64</definedName>
    <definedName name="Scope9110_044">Standortliste!$AN$65</definedName>
    <definedName name="Scope9110_045">Standortliste!$AN$66</definedName>
    <definedName name="Scope9110_046">Standortliste!$AN$67</definedName>
    <definedName name="Scope9110_047">Standortliste!$AN$68</definedName>
    <definedName name="Scope9110_048">Standortliste!$AN$69</definedName>
    <definedName name="Scope9110_049">Standortliste!$AN$70</definedName>
    <definedName name="Scope9110_050">Standortliste!$AN$71</definedName>
    <definedName name="Scope9110_051">Standortliste!$AN$72</definedName>
    <definedName name="Scope9110_052">Standortliste!$AM$73</definedName>
    <definedName name="Scope9120_001">Standortliste!$AO$22</definedName>
    <definedName name="Scope9120_002">Standortliste!$AO$23</definedName>
    <definedName name="Scope9120_003">Standortliste!$AO$24</definedName>
    <definedName name="Scope9120_004">Standortliste!$AO$25</definedName>
    <definedName name="Scope9120_005">Standortliste!$AO$26</definedName>
    <definedName name="Scope9120_006">Standortliste!$AO$27</definedName>
    <definedName name="Scope9120_007">Standortliste!$AO$28</definedName>
    <definedName name="Scope9120_008">Standortliste!$AO$29</definedName>
    <definedName name="Scope9120_009">Standortliste!$AO$30</definedName>
    <definedName name="Scope9120_010">Standortliste!$AO$31</definedName>
    <definedName name="Scope9120_011">Standortliste!$AO$32</definedName>
    <definedName name="Scope9120_012">Standortliste!$AO$33</definedName>
    <definedName name="Scope9120_013">Standortliste!$AO$34</definedName>
    <definedName name="Scope9120_014">Standortliste!$AO$35</definedName>
    <definedName name="Scope9120_015">Standortliste!$AO$36</definedName>
    <definedName name="Scope9120_016">Standortliste!$AO$37</definedName>
    <definedName name="Scope9120_017">Standortliste!$AO$38</definedName>
    <definedName name="Scope9120_018">Standortliste!$AO$39</definedName>
    <definedName name="Scope9120_019">Standortliste!$AO$40</definedName>
    <definedName name="Scope9120_020">Standortliste!$AO$41</definedName>
    <definedName name="Scope9120_021">Standortliste!$AO$42</definedName>
    <definedName name="Scope9120_022">Standortliste!$AO$43</definedName>
    <definedName name="Scope9120_023">Standortliste!$AO$44</definedName>
    <definedName name="Scope9120_024">Standortliste!$AO$45</definedName>
    <definedName name="Scope9120_025">Standortliste!$AO$46</definedName>
    <definedName name="Scope9120_026">Standortliste!$AO$47</definedName>
    <definedName name="Scope9120_027">Standortliste!$AO$48</definedName>
    <definedName name="Scope9120_028">Standortliste!$AO$49</definedName>
    <definedName name="Scope9120_029">Standortliste!$AO$50</definedName>
    <definedName name="Scope9120_030">Standortliste!$AO$51</definedName>
    <definedName name="Scope9120_031">Standortliste!$AO$52</definedName>
    <definedName name="Scope9120_032">Standortliste!$AO$53</definedName>
    <definedName name="Scope9120_033">Standortliste!$AO$54</definedName>
    <definedName name="Scope9120_034">Standortliste!$AO$55</definedName>
    <definedName name="Scope9120_035">Standortliste!$AO$56</definedName>
    <definedName name="Scope9120_036">Standortliste!$AO$57</definedName>
    <definedName name="Scope9120_037">Standortliste!$AO$58</definedName>
    <definedName name="Scope9120_038">Standortliste!$AO$59</definedName>
    <definedName name="Scope9120_039">Standortliste!$AO$60</definedName>
    <definedName name="Scope9120_040">Standortliste!$AO$61</definedName>
    <definedName name="Scope9120_041">Standortliste!$AO$62</definedName>
    <definedName name="Scope9120_042">Standortliste!$AO$63</definedName>
    <definedName name="Scope9120_043">Standortliste!$AO$64</definedName>
    <definedName name="Scope9120_044">Standortliste!$AO$65</definedName>
    <definedName name="Scope9120_045">Standortliste!$AO$66</definedName>
    <definedName name="Scope9120_046">Standortliste!$AO$67</definedName>
    <definedName name="Scope9120_047">Standortliste!$AO$68</definedName>
    <definedName name="Scope9120_048">Standortliste!$AO$69</definedName>
    <definedName name="Scope9120_049">Standortliste!$AO$70</definedName>
    <definedName name="Scope9120_050">Standortliste!$AO$71</definedName>
    <definedName name="Scope9120_051">Standortliste!$AO$72</definedName>
    <definedName name="Scope9120_052">Standortliste!$AN$73</definedName>
    <definedName name="ScopeEN9100">Stammdaten!$I$72</definedName>
    <definedName name="ScopeEN9110">Stammdaten!$I$73</definedName>
    <definedName name="ScopeEN9120">Stammdaten!$I$74</definedName>
    <definedName name="ScopeISO9001">Stammdaten!$I$75</definedName>
    <definedName name="Scopeliste">Daten!$Q$2:$Q$45</definedName>
    <definedName name="SE_Camp">Zertifizierungsstruktur!$H$9</definedName>
    <definedName name="SE_Cplx">Zertifizierungsstruktur!$H$15</definedName>
    <definedName name="SE_E1">Zertifizierungsstruktur!$H$21</definedName>
    <definedName name="SE_E2">Zertifizierungsstruktur!$H$23</definedName>
    <definedName name="SE_E3">Zertifizierungsstruktur!$H$25</definedName>
    <definedName name="SE_E4">Zertifizierungsstruktur!$H$27</definedName>
    <definedName name="SE_E5">Zertifizierungsstruktur!$H$29</definedName>
    <definedName name="SE_E6">Zertifizierungsstruktur!$H$31</definedName>
    <definedName name="SE_E7">Zertifizierungsstruktur!$H$33</definedName>
    <definedName name="SE_MulSit">Zertifizierungsstruktur!$H$11</definedName>
    <definedName name="SE_nSites">Zertifizierungsstruktur!$H$5</definedName>
    <definedName name="SE_SelSites">Zertifizierungsstruktur!$H$9:$H$15</definedName>
    <definedName name="SE_SevSit">Zertifizierungsstruktur!$H$13</definedName>
    <definedName name="SE_SinSit">Zertifizierungsstruktur!$H$7</definedName>
    <definedName name="SeveralSite">Daten!$H$5</definedName>
    <definedName name="Shifts1__001">Standortliste!$N$22</definedName>
    <definedName name="Shifts1__002">Standortliste!$N$23</definedName>
    <definedName name="Shifts1__003">Standortliste!$N$24</definedName>
    <definedName name="Shifts1__004">Standortliste!$N$25</definedName>
    <definedName name="Shifts1__005">Standortliste!$N$26</definedName>
    <definedName name="Shifts1__006">Standortliste!$N$27</definedName>
    <definedName name="Shifts1__007">Standortliste!$N$28</definedName>
    <definedName name="Shifts1__008">Standortliste!$N$29</definedName>
    <definedName name="Shifts1__009">Standortliste!$N$30</definedName>
    <definedName name="Shifts1__010">Standortliste!$N$31</definedName>
    <definedName name="Shifts1__011">Standortliste!$N$32</definedName>
    <definedName name="Shifts1__012">Standortliste!$N$33</definedName>
    <definedName name="Shifts1__013">Standortliste!$N$34</definedName>
    <definedName name="Shifts1__014">Standortliste!$N$35</definedName>
    <definedName name="Shifts1__015">Standortliste!$N$36</definedName>
    <definedName name="Shifts1__016">Standortliste!$N$37</definedName>
    <definedName name="Shifts1__017">Standortliste!$N$38</definedName>
    <definedName name="Shifts1__018">Standortliste!$N$39</definedName>
    <definedName name="Shifts1__019">Standortliste!$N$40</definedName>
    <definedName name="Shifts1__020">Standortliste!$N$41</definedName>
    <definedName name="Shifts1__021">Standortliste!$N$42</definedName>
    <definedName name="Shifts1__022">Standortliste!$N$43</definedName>
    <definedName name="Shifts1__023">Standortliste!$N$44</definedName>
    <definedName name="Shifts1__024">Standortliste!$N$45</definedName>
    <definedName name="Shifts1__025">Standortliste!$N$46</definedName>
    <definedName name="Shifts1__026">Standortliste!$N$47</definedName>
    <definedName name="Shifts1__027">Standortliste!$N$48</definedName>
    <definedName name="Shifts1__028">Standortliste!$N$49</definedName>
    <definedName name="Shifts1__029">Standortliste!$N$50</definedName>
    <definedName name="Shifts1__030">Standortliste!$N$51</definedName>
    <definedName name="Shifts1__031">Standortliste!$N$52</definedName>
    <definedName name="Shifts1__032">Standortliste!$N$53</definedName>
    <definedName name="Shifts1__033">Standortliste!$N$54</definedName>
    <definedName name="Shifts1__034">Standortliste!$N$55</definedName>
    <definedName name="Shifts1__035">Standortliste!$N$56</definedName>
    <definedName name="Shifts1__036">Standortliste!$N$57</definedName>
    <definedName name="Shifts1__037">Standortliste!$N$58</definedName>
    <definedName name="Shifts1__038">Standortliste!$N$59</definedName>
    <definedName name="Shifts1__039">Standortliste!$N$60</definedName>
    <definedName name="Shifts1__040">Standortliste!$N$61</definedName>
    <definedName name="Shifts1__041">Standortliste!$N$62</definedName>
    <definedName name="Shifts1__042">Standortliste!$N$63</definedName>
    <definedName name="Shifts1__043">Standortliste!$N$64</definedName>
    <definedName name="Shifts1__044">Standortliste!$N$65</definedName>
    <definedName name="Shifts1__045">Standortliste!$N$66</definedName>
    <definedName name="Shifts1__046">Standortliste!$N$67</definedName>
    <definedName name="Shifts1__047">Standortliste!$N$68</definedName>
    <definedName name="Shifts1__048">Standortliste!$N$69</definedName>
    <definedName name="Shifts1__049">Standortliste!$N$70</definedName>
    <definedName name="Shifts1__050">Standortliste!$N$71</definedName>
    <definedName name="Shifts1__051">Standortliste!$N$72</definedName>
    <definedName name="Shifts2__001">Standortliste!$S$22</definedName>
    <definedName name="Shifts2__002">Standortliste!$S$23</definedName>
    <definedName name="Shifts2__003">Standortliste!$S$24</definedName>
    <definedName name="Shifts2__004">Standortliste!$S$25</definedName>
    <definedName name="Shifts2__005">Standortliste!$S$26</definedName>
    <definedName name="Shifts2__006">Standortliste!$S$27</definedName>
    <definedName name="Shifts2__007">Standortliste!$S$28</definedName>
    <definedName name="Shifts2__008">Standortliste!$S$29</definedName>
    <definedName name="Shifts2__009">Standortliste!$S$30</definedName>
    <definedName name="Shifts2__010">Standortliste!$S$31</definedName>
    <definedName name="Shifts2__011">Standortliste!$S$32</definedName>
    <definedName name="Shifts2__012">Standortliste!$S$33</definedName>
    <definedName name="Shifts2__013">Standortliste!$S$34</definedName>
    <definedName name="Shifts2__014">Standortliste!$S$35</definedName>
    <definedName name="Shifts2__015">Standortliste!$S$36</definedName>
    <definedName name="Shifts2__016">Standortliste!$S$37</definedName>
    <definedName name="Shifts2__017">Standortliste!$S$38</definedName>
    <definedName name="Shifts2__018">Standortliste!$S$39</definedName>
    <definedName name="Shifts2__019">Standortliste!$S$40</definedName>
    <definedName name="Shifts2__020">Standortliste!$S$41</definedName>
    <definedName name="Shifts2__021">Standortliste!$S$42</definedName>
    <definedName name="Shifts2__022">Standortliste!$S$43</definedName>
    <definedName name="Shifts2__023">Standortliste!$S$44</definedName>
    <definedName name="Shifts2__024">Standortliste!$S$45</definedName>
    <definedName name="Shifts2__025">Standortliste!$S$46</definedName>
    <definedName name="Shifts2__026">Standortliste!$S$47</definedName>
    <definedName name="Shifts2__027">Standortliste!$S$48</definedName>
    <definedName name="Shifts2__028">Standortliste!$S$49</definedName>
    <definedName name="Shifts2__029">Standortliste!$S$50</definedName>
    <definedName name="Shifts2__030">Standortliste!$S$51</definedName>
    <definedName name="Shifts2__031">Standortliste!$S$52</definedName>
    <definedName name="Shifts2__032">Standortliste!$S$53</definedName>
    <definedName name="Shifts2__033">Standortliste!$S$54</definedName>
    <definedName name="Shifts2__034">Standortliste!$S$55</definedName>
    <definedName name="Shifts2__035">Standortliste!$S$56</definedName>
    <definedName name="Shifts2__036">Standortliste!$S$57</definedName>
    <definedName name="Shifts2__037">Standortliste!$S$58</definedName>
    <definedName name="Shifts2__038">Standortliste!$S$59</definedName>
    <definedName name="Shifts2__039">Standortliste!$S$60</definedName>
    <definedName name="Shifts2__040">Standortliste!$S$61</definedName>
    <definedName name="Shifts2__041">Standortliste!$S$62</definedName>
    <definedName name="Shifts2__042">Standortliste!$S$63</definedName>
    <definedName name="Shifts2__043">Standortliste!$S$64</definedName>
    <definedName name="Shifts2__044">Standortliste!$S$65</definedName>
    <definedName name="Shifts2__045">Standortliste!$S$66</definedName>
    <definedName name="Shifts2__046">Standortliste!$S$67</definedName>
    <definedName name="Shifts2__047">Standortliste!$S$68</definedName>
    <definedName name="Shifts2__048">Standortliste!$S$69</definedName>
    <definedName name="Shifts2__049">Standortliste!$S$70</definedName>
    <definedName name="Shifts2__050">Standortliste!$S$71</definedName>
    <definedName name="Shifts2__051">Standortliste!$S$72</definedName>
    <definedName name="Shifts3__001">Standortliste!$X$22</definedName>
    <definedName name="Shifts3__002">Standortliste!$X$23</definedName>
    <definedName name="Shifts3__003">Standortliste!$X$24</definedName>
    <definedName name="Shifts3__004">Standortliste!$X$25</definedName>
    <definedName name="Shifts3__005">Standortliste!$X$26</definedName>
    <definedName name="Shifts3__006">Standortliste!$X$27</definedName>
    <definedName name="Shifts3__007">Standortliste!$X$28</definedName>
    <definedName name="Shifts3__008">Standortliste!$X$29</definedName>
    <definedName name="Shifts3__009">Standortliste!$X$30</definedName>
    <definedName name="Shifts3__010">Standortliste!$X$31</definedName>
    <definedName name="Shifts3__011">Standortliste!$X$32</definedName>
    <definedName name="Shifts3__012">Standortliste!$X$33</definedName>
    <definedName name="Shifts3__013">Standortliste!$X$34</definedName>
    <definedName name="Shifts3__014">Standortliste!$X$35</definedName>
    <definedName name="Shifts3__015">Standortliste!$X$36</definedName>
    <definedName name="Shifts3__016">Standortliste!$X$37</definedName>
    <definedName name="Shifts3__017">Standortliste!$X$38</definedName>
    <definedName name="Shifts3__018">Standortliste!$X$39</definedName>
    <definedName name="Shifts3__019">Standortliste!$X$40</definedName>
    <definedName name="Shifts3__020">Standortliste!$X$41</definedName>
    <definedName name="Shifts3__021">Standortliste!$X$42</definedName>
    <definedName name="Shifts3__022">Standortliste!$X$43</definedName>
    <definedName name="Shifts3__023">Standortliste!$X$44</definedName>
    <definedName name="Shifts3__024">Standortliste!$X$45</definedName>
    <definedName name="Shifts3__025">Standortliste!$X$46</definedName>
    <definedName name="Shifts3__026">Standortliste!$X$47</definedName>
    <definedName name="Shifts3__027">Standortliste!$X$48</definedName>
    <definedName name="Shifts3__028">Standortliste!$X$49</definedName>
    <definedName name="Shifts3__029">Standortliste!$X$50</definedName>
    <definedName name="Shifts3__030">Standortliste!$X$51</definedName>
    <definedName name="Shifts3__031">Standortliste!$X$52</definedName>
    <definedName name="Shifts3__032">Standortliste!$X$53</definedName>
    <definedName name="Shifts3__033">Standortliste!$X$54</definedName>
    <definedName name="Shifts3__034">Standortliste!$X$55</definedName>
    <definedName name="Shifts3__035">Standortliste!$X$56</definedName>
    <definedName name="Shifts3__036">Standortliste!$X$57</definedName>
    <definedName name="Shifts3__037">Standortliste!$X$58</definedName>
    <definedName name="Shifts3__038">Standortliste!$X$59</definedName>
    <definedName name="Shifts3__039">Standortliste!$X$60</definedName>
    <definedName name="Shifts3__040">Standortliste!$X$61</definedName>
    <definedName name="Shifts3__041">Standortliste!$X$62</definedName>
    <definedName name="Shifts3__042">Standortliste!$X$63</definedName>
    <definedName name="Shifts3__043">Standortliste!$X$64</definedName>
    <definedName name="Shifts3__044">Standortliste!$X$65</definedName>
    <definedName name="Shifts3__045">Standortliste!$X$66</definedName>
    <definedName name="Shifts3__046">Standortliste!$X$67</definedName>
    <definedName name="Shifts3__047">Standortliste!$X$68</definedName>
    <definedName name="Shifts3__048">Standortliste!$X$69</definedName>
    <definedName name="Shifts3__049">Standortliste!$X$70</definedName>
    <definedName name="Shifts3__050">Standortliste!$X$71</definedName>
    <definedName name="Shifts3__051">Standortliste!$X$72</definedName>
    <definedName name="SingleSite">Daten!$H$2</definedName>
    <definedName name="Site_001">Standortliste!$B$22</definedName>
    <definedName name="Site_002">Standortliste!$B$23</definedName>
    <definedName name="Site_003">Standortliste!$B$24</definedName>
    <definedName name="Site_004">Standortliste!$B$25</definedName>
    <definedName name="Site_005">Standortliste!$B$26</definedName>
    <definedName name="Site_006">Standortliste!$B$27</definedName>
    <definedName name="Site_007">Standortliste!$B$28</definedName>
    <definedName name="Site_008">Standortliste!$B$29</definedName>
    <definedName name="Site_009">Standortliste!$B$30</definedName>
    <definedName name="Site_010">Standortliste!$B$31</definedName>
    <definedName name="Site_011">Standortliste!$B$32</definedName>
    <definedName name="Site_012">Standortliste!$B$33</definedName>
    <definedName name="Site_013">Standortliste!$B$34</definedName>
    <definedName name="Site_014">Standortliste!$B$35</definedName>
    <definedName name="Site_015">Standortliste!$B$36</definedName>
    <definedName name="Site_016">Standortliste!$B$37</definedName>
    <definedName name="Site_017">Standortliste!$B$38</definedName>
    <definedName name="Site_018">Standortliste!$B$39</definedName>
    <definedName name="Site_019">Standortliste!$B$40</definedName>
    <definedName name="Site_020">Standortliste!$B$41</definedName>
    <definedName name="Site_021">Standortliste!$B$42</definedName>
    <definedName name="Site_022">Standortliste!$B$43</definedName>
    <definedName name="Site_023">Standortliste!$B$44</definedName>
    <definedName name="Site_024">Standortliste!$B$45</definedName>
    <definedName name="Site_025">Standortliste!$B$46</definedName>
    <definedName name="Site_026">Standortliste!$B$47</definedName>
    <definedName name="Site_027">Standortliste!$B$48</definedName>
    <definedName name="Site_028">Standortliste!$B$49</definedName>
    <definedName name="Site_029">Standortliste!$B$50</definedName>
    <definedName name="Site_030">Standortliste!$B$51</definedName>
    <definedName name="Site_031">Standortliste!$B$52</definedName>
    <definedName name="Site_032">Standortliste!$B$53</definedName>
    <definedName name="Site_033">Standortliste!$B$54</definedName>
    <definedName name="Site_034">Standortliste!$B$55</definedName>
    <definedName name="Site_035">Standortliste!$B$56</definedName>
    <definedName name="Site_036">Standortliste!$B$57</definedName>
    <definedName name="Site_037">Standortliste!$B$58</definedName>
    <definedName name="Site_038">Standortliste!$B$59</definedName>
    <definedName name="Site_039">Standortliste!$B$60</definedName>
    <definedName name="Site_040">Standortliste!$B$61</definedName>
    <definedName name="Site_041">Standortliste!$B$62</definedName>
    <definedName name="Site_042">Standortliste!$B$63</definedName>
    <definedName name="Site_043">Standortliste!$B$64</definedName>
    <definedName name="Site_044">Standortliste!$B$65</definedName>
    <definedName name="Site_045">Standortliste!$B$66</definedName>
    <definedName name="Site_046">Standortliste!$B$67</definedName>
    <definedName name="Site_047">Standortliste!$B$68</definedName>
    <definedName name="Site_048">Standortliste!$B$69</definedName>
    <definedName name="Site_049">Standortliste!$B$70</definedName>
    <definedName name="Site_050">Standortliste!$B$71</definedName>
    <definedName name="Site_051">Standortliste!$B$72</definedName>
    <definedName name="SiteDesign_001">Standortliste!$E$22</definedName>
    <definedName name="SiteDesign_002">Standortliste!$E$23</definedName>
    <definedName name="SiteDesign_003">Standortliste!$E$24</definedName>
    <definedName name="SiteDesign_004">Standortliste!$E$25</definedName>
    <definedName name="SiteDesign_005">Standortliste!$E$26</definedName>
    <definedName name="SiteDesign_006">Standortliste!$E$27</definedName>
    <definedName name="SiteDesign_007">Standortliste!$E$28</definedName>
    <definedName name="SiteDesign_008">Standortliste!$E$29</definedName>
    <definedName name="SiteDesign_009">Standortliste!$E$30</definedName>
    <definedName name="SiteDesign_010">Standortliste!$E$31</definedName>
    <definedName name="SiteDesign_011">Standortliste!$E$32</definedName>
    <definedName name="SiteDesign_012">Standortliste!$E$33</definedName>
    <definedName name="SiteDesign_013">Standortliste!$E$34</definedName>
    <definedName name="SiteDesign_014">Standortliste!$E$35</definedName>
    <definedName name="SiteDesign_015">Standortliste!$E$36</definedName>
    <definedName name="SiteDesign_016">Standortliste!$E$37</definedName>
    <definedName name="SiteDesign_017">Standortliste!$E$38</definedName>
    <definedName name="SiteDesign_018">Standortliste!$E$39</definedName>
    <definedName name="SiteDesign_019">Standortliste!$E$40</definedName>
    <definedName name="SiteDesign_020">Standortliste!$E$41</definedName>
    <definedName name="SiteDesign_021">Standortliste!$E$42</definedName>
    <definedName name="SiteDesign_022">Standortliste!$E$43</definedName>
    <definedName name="SiteDesign_023">Standortliste!$E$44</definedName>
    <definedName name="SiteDesign_024">Standortliste!$E$45</definedName>
    <definedName name="SiteDesign_025">Standortliste!$E$46</definedName>
    <definedName name="SiteDesign_026">Standortliste!$E$47</definedName>
    <definedName name="SiteDesign_027">Standortliste!$E$48</definedName>
    <definedName name="SiteDesign_028">Standortliste!$E$49</definedName>
    <definedName name="SiteDesign_029">Standortliste!$E$50</definedName>
    <definedName name="SiteDesign_030">Standortliste!$E$51</definedName>
    <definedName name="SiteDesign_031">Standortliste!$E$52</definedName>
    <definedName name="SiteDesign_032">Standortliste!$E$53</definedName>
    <definedName name="SiteDesign_033">Standortliste!$E$54</definedName>
    <definedName name="SiteDesign_034">Standortliste!$E$55</definedName>
    <definedName name="SiteDesign_035">Standortliste!$E$56</definedName>
    <definedName name="SiteDesign_036">Standortliste!$E$57</definedName>
    <definedName name="SiteDesign_037">Standortliste!$E$58</definedName>
    <definedName name="SiteDesign_038">Standortliste!$E$59</definedName>
    <definedName name="SiteDesign_039">Standortliste!$E$60</definedName>
    <definedName name="SiteDesign_040">Standortliste!$E$61</definedName>
    <definedName name="SiteDesign_041">Standortliste!$E$62</definedName>
    <definedName name="SiteDesign_042">Standortliste!$E$63</definedName>
    <definedName name="SiteDesign_043">Standortliste!$E$64</definedName>
    <definedName name="SiteDesign_044">Standortliste!$E$65</definedName>
    <definedName name="SiteDesign_045">Standortliste!$E$66</definedName>
    <definedName name="SiteDesign_046">Standortliste!$E$67</definedName>
    <definedName name="SiteDesign_047">Standortliste!$E$68</definedName>
    <definedName name="SiteDesign_048">Standortliste!$E$69</definedName>
    <definedName name="SiteDesign_049">Standortliste!$E$70</definedName>
    <definedName name="SiteDesign_050">Standortliste!$E$71</definedName>
    <definedName name="SiteDesign_051">Standortliste!$E$72</definedName>
    <definedName name="SiteDesign_052">Standortliste!$E$73</definedName>
    <definedName name="SiteListe">Standortliste!$B$22:$B$72</definedName>
    <definedName name="Sonstiges">Stammdaten!$C$31</definedName>
    <definedName name="Sp1_1">Daten!$AA$2</definedName>
    <definedName name="Sp1_2">Daten!$AA$3</definedName>
    <definedName name="Sp1_3">Daten!$AA$4</definedName>
    <definedName name="Sp2_1">Daten!$AB$2</definedName>
    <definedName name="SP2_2">Daten!$AB$3</definedName>
    <definedName name="SP2_3">Daten!$AB$4</definedName>
    <definedName name="Sp3_1">Daten!$AC$2</definedName>
    <definedName name="SP3_2">Daten!$AC$3</definedName>
    <definedName name="SP3_3">Daten!$AC$4</definedName>
    <definedName name="SpA">Daten!$I$12</definedName>
    <definedName name="Spaltenauswahl">Daten!$U$2:$U$6</definedName>
    <definedName name="Sprachauswahl">Daten!$S$2:$S$3</definedName>
    <definedName name="Sprache">Stammdaten!$J$2</definedName>
    <definedName name="Sprachenliste">Daten!$AV$2:$AV$139</definedName>
    <definedName name="Sprachkompetenz">Stammdaten!$L$36</definedName>
    <definedName name="SprAudit__001">Standortliste!$AF$22</definedName>
    <definedName name="SprAudit__002">Standortliste!$AF$23</definedName>
    <definedName name="SprAudit__003">Standortliste!$AF$24</definedName>
    <definedName name="SprAudit__004">Standortliste!$AF$25</definedName>
    <definedName name="SprAudit__005">Standortliste!$AF$26</definedName>
    <definedName name="SprAudit__006">Standortliste!$AF$27</definedName>
    <definedName name="SprAudit__007">Standortliste!$AF$28</definedName>
    <definedName name="SprAudit__008">Standortliste!$AF$29</definedName>
    <definedName name="SprAudit__009">Standortliste!$AF$30</definedName>
    <definedName name="SprAudit__010">Standortliste!$AF$31</definedName>
    <definedName name="SprAudit__011">Standortliste!$AF$32</definedName>
    <definedName name="SprAudit__012">Standortliste!$AF$33</definedName>
    <definedName name="SprAudit__013">Standortliste!$AF$34</definedName>
    <definedName name="SprAudit__014">Standortliste!$AF$35</definedName>
    <definedName name="SprAudit__015">Standortliste!$AF$36</definedName>
    <definedName name="SprAudit__016">Standortliste!$AF$37</definedName>
    <definedName name="SprAudit__017">Standortliste!$AF$38</definedName>
    <definedName name="SprAudit__018">Standortliste!$AF$39</definedName>
    <definedName name="SprAudit__019">Standortliste!$AF$40</definedName>
    <definedName name="SprAudit__020">Standortliste!$AF$41</definedName>
    <definedName name="SprAudit__021">Standortliste!$AF$42</definedName>
    <definedName name="SprAudit__022">Standortliste!$AF$43</definedName>
    <definedName name="SprAudit__023">Standortliste!$AF$44</definedName>
    <definedName name="SprAudit__024">Standortliste!$AF$45</definedName>
    <definedName name="SprAudit__025">Standortliste!$AF$46</definedName>
    <definedName name="SprAudit__026">Standortliste!$AF$47</definedName>
    <definedName name="SprAudit__027">Standortliste!$AF$48</definedName>
    <definedName name="SprAudit__028">Standortliste!$AF$49</definedName>
    <definedName name="SprAudit__029">Standortliste!$AF$50</definedName>
    <definedName name="SprAudit__030">Standortliste!$AF$51</definedName>
    <definedName name="SprAudit__031">Standortliste!$AF$52</definedName>
    <definedName name="SprAudit__032">Standortliste!$AF$53</definedName>
    <definedName name="SprAudit__033">Standortliste!$AF$54</definedName>
    <definedName name="SprAudit__034">Standortliste!$AF$55</definedName>
    <definedName name="SprAudit__035">Standortliste!$AF$56</definedName>
    <definedName name="SprAudit__036">Standortliste!$AF$57</definedName>
    <definedName name="SprAudit__037">Standortliste!$AF$58</definedName>
    <definedName name="SprAudit__038">Standortliste!$AF$59</definedName>
    <definedName name="SprAudit__039">Standortliste!$AF$60</definedName>
    <definedName name="SprAudit__040">Standortliste!$AF$61</definedName>
    <definedName name="SprAudit__041">Standortliste!$AF$62</definedName>
    <definedName name="SprAudit__042">Standortliste!$AF$63</definedName>
    <definedName name="SprAudit__043">Standortliste!$AF$64</definedName>
    <definedName name="SprAudit__044">Standortliste!$AF$65</definedName>
    <definedName name="SprAudit__045">Standortliste!$AF$66</definedName>
    <definedName name="SprAudit__046">Standortliste!$AF$67</definedName>
    <definedName name="SprAudit__047">Standortliste!$AF$68</definedName>
    <definedName name="SprAudit__048">Standortliste!$AF$69</definedName>
    <definedName name="SprAudit__049">Standortliste!$AF$70</definedName>
    <definedName name="SprAudit__050">Standortliste!$AF$71</definedName>
    <definedName name="SprAudit__051">Standortliste!$AF$72</definedName>
    <definedName name="SprDoc__001">Standortliste!$AE$22</definedName>
    <definedName name="SprDoc__002">Standortliste!$AE$23</definedName>
    <definedName name="SprDoc__003">Standortliste!$AE$24</definedName>
    <definedName name="SprDoc__004">Standortliste!$AE$25</definedName>
    <definedName name="SprDoc__005">Standortliste!$AE$26</definedName>
    <definedName name="SprDoc__006">Standortliste!$AE$27</definedName>
    <definedName name="SprDoc__007">Standortliste!$AE$28</definedName>
    <definedName name="SprDoc__008">Standortliste!$AE$29</definedName>
    <definedName name="SprDoc__009">Standortliste!$AE$30</definedName>
    <definedName name="SprDoc__010">Standortliste!$AE$31</definedName>
    <definedName name="SprDoc__011">Standortliste!$AE$32</definedName>
    <definedName name="SprDoc__012">Standortliste!$AE$33</definedName>
    <definedName name="SprDoc__013">Standortliste!$AE$34</definedName>
    <definedName name="SprDoc__014">Standortliste!$AE$35</definedName>
    <definedName name="SprDoc__015">Standortliste!$AE$36</definedName>
    <definedName name="SprDoc__016">Standortliste!$AE$37</definedName>
    <definedName name="SprDoc__017">Standortliste!$AE$38</definedName>
    <definedName name="SprDoc__018">Standortliste!$AE$39</definedName>
    <definedName name="SprDoc__019">Standortliste!$AE$40</definedName>
    <definedName name="SprDoc__020">Standortliste!$AE$41</definedName>
    <definedName name="SprDoc__021">Standortliste!$AE$42</definedName>
    <definedName name="SprDoc__022">Standortliste!$AE$43</definedName>
    <definedName name="SprDoc__023">Standortliste!$AE$44</definedName>
    <definedName name="SprDoc__024">Standortliste!$AE$45</definedName>
    <definedName name="SprDoc__025">Standortliste!$AE$46</definedName>
    <definedName name="SprDoc__026">Standortliste!$AE$47</definedName>
    <definedName name="SprDoc__027">Standortliste!$AE$48</definedName>
    <definedName name="SprDoc__028">Standortliste!$AE$49</definedName>
    <definedName name="SprDoc__029">Standortliste!$AE$50</definedName>
    <definedName name="SprDoc__030">Standortliste!$AE$51</definedName>
    <definedName name="SprDoc__031">Standortliste!$AE$52</definedName>
    <definedName name="SprDoc__032">Standortliste!$AE$53</definedName>
    <definedName name="SprDoc__033">Standortliste!$AE$54</definedName>
    <definedName name="SprDoc__034">Standortliste!$AE$55</definedName>
    <definedName name="SprDoc__035">Standortliste!$AE$56</definedName>
    <definedName name="SprDoc__036">Standortliste!$AE$57</definedName>
    <definedName name="SprDoc__037">Standortliste!$AE$58</definedName>
    <definedName name="SprDoc__038">Standortliste!$AE$59</definedName>
    <definedName name="SprDoc__039">Standortliste!$AE$60</definedName>
    <definedName name="SprDoc__040">Standortliste!$AE$61</definedName>
    <definedName name="SprDoc__041">Standortliste!$AE$62</definedName>
    <definedName name="SprDoc__042">Standortliste!$AE$63</definedName>
    <definedName name="SprDoc__043">Standortliste!$AE$64</definedName>
    <definedName name="SprDoc__044">Standortliste!$AE$65</definedName>
    <definedName name="SprDoc__045">Standortliste!$AE$66</definedName>
    <definedName name="SprDoc__046">Standortliste!$AE$67</definedName>
    <definedName name="SprDoc__047">Standortliste!$AE$68</definedName>
    <definedName name="SprDoc__048">Standortliste!$AE$69</definedName>
    <definedName name="SprDoc__049">Standortliste!$AE$70</definedName>
    <definedName name="SprDoc__050">Standortliste!$AE$71</definedName>
    <definedName name="SprDoc__051">Standortliste!$AE$72</definedName>
    <definedName name="Standard1">Stammdaten!$A$72</definedName>
    <definedName name="Standard2">Stammdaten!$A$73</definedName>
    <definedName name="Standard3">Stammdaten!$A$74</definedName>
    <definedName name="Startspalte1">Daten!$AA$2</definedName>
    <definedName name="Startspalte2">Daten!$AB$2</definedName>
    <definedName name="Startspalte3">Daten!$AC$2</definedName>
    <definedName name="Straße">Stammdaten!$C$9</definedName>
    <definedName name="Struktur">Zertifizierungsstruktur!$D$45</definedName>
    <definedName name="StrukturAudit">Zertifizierungsstruktur!$D$41</definedName>
    <definedName name="StrukturBekannt">Zertifizierungsstruktur!$D$43</definedName>
    <definedName name="StrukturDaten">Zertifizierungsstruktur!$D$39</definedName>
    <definedName name="Strukturentscheider">Zertifizierungsstruktur!$D$47:$E$47</definedName>
    <definedName name="Strukturwunsch">Stammdaten!$B$52</definedName>
    <definedName name="Strukturwunsch2">Stammdaten!$B$53</definedName>
    <definedName name="Strukturwunsch3">Stammdaten!$B$54</definedName>
    <definedName name="Stufe1Formel">Daten!$AI$2:$AJ$7</definedName>
    <definedName name="Stufe1Init">Stammdaten!$E$77</definedName>
    <definedName name="Stufe1Wunsch">Stammdaten!$E$78</definedName>
    <definedName name="Tätigkeiten">Daten!$BE$2:$BE$3</definedName>
    <definedName name="Teilbereich">Stammdaten!$C$64</definedName>
    <definedName name="Telefax">Stammdaten!$E$25</definedName>
    <definedName name="Telefon">Stammdaten!$B$25</definedName>
    <definedName name="Titel">Stammdaten!$A$1</definedName>
    <definedName name="Transfer">Stammdaten!$K$82</definedName>
    <definedName name="Transfer1">Daten!$U$4</definedName>
    <definedName name="Transfer2">Daten!$U$5</definedName>
    <definedName name="Transfer3">Daten!$U$6</definedName>
    <definedName name="TransferCB">Daten!$T$8</definedName>
    <definedName name="TransferReZert">Daten!$U$7</definedName>
    <definedName name="TransferTyp">Stammdaten!$I$87</definedName>
    <definedName name="Translator1">Stammdaten!$J$52</definedName>
    <definedName name="Translator2">Stammdaten!$J$53</definedName>
    <definedName name="Translator3">Stammdaten!$J$54</definedName>
    <definedName name="Transltr_1">Addition!$C$13</definedName>
    <definedName name="Transltr_2">Addition!$E$13</definedName>
    <definedName name="Transltr_3">Addition!$G$13</definedName>
    <definedName name="Trend">Daten!$BH$2:$BH$3</definedName>
    <definedName name="Ü1">Daten!$I$10</definedName>
    <definedName name="Ü2">Daten!$I$11</definedName>
    <definedName name="Ungültig">Auditteam!$C$25</definedName>
    <definedName name="UpgradeAudit">Upgrade2016!$C$12</definedName>
    <definedName name="UpgradeJahr">Upgrade2016!$C$9</definedName>
    <definedName name="UpgradeJustification">Upgrade2016!$D$17</definedName>
    <definedName name="UpgradenS">Upgrade2016!$D$13</definedName>
    <definedName name="UpgradeZusatz">Upgrade2016!$D$16</definedName>
    <definedName name="USTID">Stammdaten!$C$15</definedName>
    <definedName name="Variety_1">Addition!$C$11</definedName>
    <definedName name="Variety_2">Addition!$E$11</definedName>
    <definedName name="Variety_3">Addition!$G$11</definedName>
    <definedName name="Variety1">Stammdaten!$F$52</definedName>
    <definedName name="Variety2">Stammdaten!$F$53</definedName>
    <definedName name="Variety3">Stammdaten!$F$54</definedName>
    <definedName name="Verband">Stammdaten!$I$31</definedName>
    <definedName name="VerCAR_1">Addition!$C$25</definedName>
    <definedName name="VerCAR_2">Addition!$E$25</definedName>
    <definedName name="VerCAR_3">Addition!$G$25</definedName>
    <definedName name="VerificationCA1">Stammdaten!$H$52</definedName>
    <definedName name="VerificationCA2">Stammdaten!$H$53</definedName>
    <definedName name="VerificationCA3">Stammdaten!$H$54</definedName>
    <definedName name="Version" localSheetId="8">Daten!$A$5</definedName>
    <definedName name="Viele">Daten!$BE$3</definedName>
    <definedName name="Wenige">Daten!$BE$2</definedName>
    <definedName name="Wichtung">Addition!$A$18</definedName>
    <definedName name="Zentrale">Standortliste!$U$15</definedName>
    <definedName name="Zentralfunktion">Daten!$AR$2:$AR$3</definedName>
    <definedName name="Zertifizierung">Daten!$U$2</definedName>
    <definedName name="ZF">Daten!$AR$3</definedName>
    <definedName name="Zuschlag">Stammdaten!$I$76</definedName>
    <definedName name="Zuschlag1">Daten!$BD$12</definedName>
    <definedName name="Zuschlag2">Daten!$BD$13</definedName>
    <definedName name="Zuschlag3">Daten!$BD$14</definedName>
    <definedName name="ZuschlagproPunkt">Daten!$BA$7</definedName>
  </definedNames>
  <calcPr calcId="162913"/>
</workbook>
</file>

<file path=xl/calcChain.xml><?xml version="1.0" encoding="utf-8"?>
<calcChain xmlns="http://schemas.openxmlformats.org/spreadsheetml/2006/main">
  <c r="K51" i="1" l="1"/>
  <c r="D71" i="1"/>
  <c r="C7" i="14"/>
  <c r="D1" i="45" l="1"/>
  <c r="C2" i="12" l="1"/>
  <c r="I41" i="1"/>
  <c r="A9" i="45" s="1"/>
  <c r="E41" i="1"/>
  <c r="A8" i="45" s="1"/>
  <c r="A41" i="1"/>
  <c r="A7" i="45" s="1"/>
  <c r="A14" i="45"/>
  <c r="B21" i="45"/>
  <c r="B18" i="45"/>
  <c r="A16" i="45"/>
  <c r="A17" i="45" s="1"/>
  <c r="A4" i="45"/>
  <c r="H29" i="45"/>
  <c r="A27" i="45"/>
  <c r="A26" i="45"/>
  <c r="C24" i="45"/>
  <c r="A22" i="45"/>
  <c r="B20" i="45"/>
  <c r="A19" i="45"/>
  <c r="A15" i="45"/>
  <c r="F6" i="45"/>
  <c r="H6" i="45" s="1"/>
  <c r="C6" i="45"/>
  <c r="A6" i="45"/>
  <c r="A9" i="44" l="1"/>
  <c r="H13" i="1"/>
  <c r="A39" i="1"/>
  <c r="D13" i="1"/>
  <c r="C7" i="44"/>
  <c r="C8" i="44" s="1"/>
  <c r="A13" i="44"/>
  <c r="A86" i="1" l="1"/>
  <c r="H86" i="1"/>
  <c r="A85" i="1"/>
  <c r="L84" i="1"/>
  <c r="L85" i="1" s="1"/>
  <c r="D2" i="43"/>
  <c r="E2" i="43"/>
  <c r="C2" i="43"/>
  <c r="L86" i="1" l="1"/>
  <c r="L89" i="1" s="1"/>
  <c r="A88" i="1"/>
  <c r="I12" i="12"/>
  <c r="C9" i="44"/>
  <c r="A15" i="44"/>
  <c r="I11" i="12"/>
  <c r="I10" i="12"/>
  <c r="A14" i="44"/>
  <c r="A12" i="44"/>
  <c r="A11" i="44"/>
  <c r="A10" i="44"/>
  <c r="A8" i="44"/>
  <c r="A7" i="44"/>
  <c r="A6" i="44"/>
  <c r="A17" i="44"/>
  <c r="A16" i="44"/>
  <c r="F6" i="44"/>
  <c r="C10" i="44" l="1"/>
  <c r="E9" i="44"/>
  <c r="A4" i="44"/>
  <c r="A2" i="44"/>
  <c r="J19" i="44"/>
  <c r="F1" i="44"/>
  <c r="A84" i="1"/>
  <c r="A89" i="1"/>
  <c r="A80" i="1"/>
  <c r="A83" i="1"/>
  <c r="A82" i="1"/>
  <c r="A87" i="1"/>
  <c r="U7" i="12" l="1"/>
  <c r="A50" i="1"/>
  <c r="BE3" i="12"/>
  <c r="BE2" i="12"/>
  <c r="F52" i="1" s="1"/>
  <c r="C11" i="45" s="1"/>
  <c r="H51" i="1"/>
  <c r="A24" i="45" s="1"/>
  <c r="A25" i="45" s="1"/>
  <c r="G51" i="1"/>
  <c r="A12" i="45" s="1"/>
  <c r="J51" i="1"/>
  <c r="A13" i="45" s="1"/>
  <c r="F51" i="1"/>
  <c r="A11" i="45" s="1"/>
  <c r="D51" i="1"/>
  <c r="A10" i="45" s="1"/>
  <c r="A37" i="1"/>
  <c r="A48" i="1"/>
  <c r="I48" i="1"/>
  <c r="I47" i="1"/>
  <c r="A47" i="1"/>
  <c r="A46" i="1"/>
  <c r="A45" i="1"/>
  <c r="A44" i="1"/>
  <c r="I44" i="1"/>
  <c r="A43" i="1"/>
  <c r="D23" i="23"/>
  <c r="D24" i="23"/>
  <c r="D25"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22" i="23"/>
  <c r="D11" i="45" l="1"/>
  <c r="E11" i="45"/>
  <c r="F53" i="1"/>
  <c r="G52" i="1"/>
  <c r="C12" i="45" s="1"/>
  <c r="AZ12" i="12"/>
  <c r="I19" i="23"/>
  <c r="I24" i="23"/>
  <c r="I23" i="23"/>
  <c r="D12" i="45" l="1"/>
  <c r="E12" i="45"/>
  <c r="I25" i="23"/>
  <c r="F11" i="45"/>
  <c r="G11" i="45"/>
  <c r="H11" i="45" s="1"/>
  <c r="F54" i="1"/>
  <c r="AZ13" i="12"/>
  <c r="BA12" i="12"/>
  <c r="G53" i="1"/>
  <c r="A63" i="1"/>
  <c r="A56" i="1"/>
  <c r="B51" i="1"/>
  <c r="L51" i="1"/>
  <c r="A57" i="1"/>
  <c r="A34" i="1"/>
  <c r="A40" i="1"/>
  <c r="AY4" i="12"/>
  <c r="AY3" i="12"/>
  <c r="AY2" i="12"/>
  <c r="A33" i="1"/>
  <c r="C6" i="23"/>
  <c r="F19" i="23"/>
  <c r="C14" i="23"/>
  <c r="C17" i="23"/>
  <c r="C16" i="23"/>
  <c r="C15" i="23"/>
  <c r="D20" i="23"/>
  <c r="B22" i="23"/>
  <c r="I26" i="23" l="1"/>
  <c r="F12" i="45"/>
  <c r="G12" i="45"/>
  <c r="H12" i="45" s="1"/>
  <c r="AZ14" i="12"/>
  <c r="D52" i="1"/>
  <c r="G54" i="1"/>
  <c r="BA13" i="12"/>
  <c r="B53" i="1"/>
  <c r="I27" i="23" l="1"/>
  <c r="B54" i="1"/>
  <c r="BA14" i="12"/>
  <c r="D53" i="1"/>
  <c r="AY12" i="12"/>
  <c r="A66" i="1"/>
  <c r="D60" i="1"/>
  <c r="H60" i="1" s="1"/>
  <c r="L60" i="1" s="1"/>
  <c r="A58" i="1"/>
  <c r="A60" i="1"/>
  <c r="E60" i="1" s="1"/>
  <c r="I60" i="1" s="1"/>
  <c r="F60" i="1"/>
  <c r="J60" i="1" s="1"/>
  <c r="G60" i="1"/>
  <c r="K60" i="1" s="1"/>
  <c r="AM19" i="23"/>
  <c r="S23" i="23"/>
  <c r="X23" i="23" s="1"/>
  <c r="S24" i="23"/>
  <c r="X24" i="23" s="1"/>
  <c r="S25" i="23"/>
  <c r="X25" i="23" s="1"/>
  <c r="S26" i="23"/>
  <c r="X26" i="23" s="1"/>
  <c r="S27" i="23"/>
  <c r="X27" i="23" s="1"/>
  <c r="S28" i="23"/>
  <c r="X28" i="23" s="1"/>
  <c r="S29" i="23"/>
  <c r="X29" i="23" s="1"/>
  <c r="S30" i="23"/>
  <c r="X30" i="23" s="1"/>
  <c r="S31" i="23"/>
  <c r="X31" i="23" s="1"/>
  <c r="S32" i="23"/>
  <c r="X32" i="23" s="1"/>
  <c r="S33" i="23"/>
  <c r="X33" i="23" s="1"/>
  <c r="S34" i="23"/>
  <c r="X34" i="23" s="1"/>
  <c r="S35" i="23"/>
  <c r="X35" i="23" s="1"/>
  <c r="S36" i="23"/>
  <c r="X36" i="23" s="1"/>
  <c r="S37" i="23"/>
  <c r="X37" i="23" s="1"/>
  <c r="S38" i="23"/>
  <c r="X38" i="23" s="1"/>
  <c r="S39" i="23"/>
  <c r="X39" i="23" s="1"/>
  <c r="S40" i="23"/>
  <c r="X40" i="23" s="1"/>
  <c r="S41" i="23"/>
  <c r="X41" i="23" s="1"/>
  <c r="S42" i="23"/>
  <c r="X42" i="23" s="1"/>
  <c r="S43" i="23"/>
  <c r="X43" i="23" s="1"/>
  <c r="S44" i="23"/>
  <c r="X44" i="23" s="1"/>
  <c r="S45" i="23"/>
  <c r="X45" i="23" s="1"/>
  <c r="S46" i="23"/>
  <c r="X46" i="23" s="1"/>
  <c r="S47" i="23"/>
  <c r="X47" i="23" s="1"/>
  <c r="S48" i="23"/>
  <c r="X48" i="23" s="1"/>
  <c r="S49" i="23"/>
  <c r="X49" i="23" s="1"/>
  <c r="S50" i="23"/>
  <c r="X50" i="23" s="1"/>
  <c r="S51" i="23"/>
  <c r="X51" i="23" s="1"/>
  <c r="S52" i="23"/>
  <c r="X52" i="23" s="1"/>
  <c r="S53" i="23"/>
  <c r="X53" i="23" s="1"/>
  <c r="S54" i="23"/>
  <c r="X54" i="23" s="1"/>
  <c r="S55" i="23"/>
  <c r="X55" i="23" s="1"/>
  <c r="S56" i="23"/>
  <c r="X56" i="23" s="1"/>
  <c r="S57" i="23"/>
  <c r="X57" i="23" s="1"/>
  <c r="S58" i="23"/>
  <c r="X58" i="23" s="1"/>
  <c r="S59" i="23"/>
  <c r="X59" i="23" s="1"/>
  <c r="S60" i="23"/>
  <c r="X60" i="23" s="1"/>
  <c r="S61" i="23"/>
  <c r="X61" i="23" s="1"/>
  <c r="S62" i="23"/>
  <c r="X62" i="23" s="1"/>
  <c r="S63" i="23"/>
  <c r="X63" i="23" s="1"/>
  <c r="S64" i="23"/>
  <c r="X64" i="23" s="1"/>
  <c r="S65" i="23"/>
  <c r="X65" i="23" s="1"/>
  <c r="S66" i="23"/>
  <c r="X66" i="23" s="1"/>
  <c r="S67" i="23"/>
  <c r="X67" i="23" s="1"/>
  <c r="S68" i="23"/>
  <c r="X68" i="23" s="1"/>
  <c r="S69" i="23"/>
  <c r="X69" i="23" s="1"/>
  <c r="S70" i="23"/>
  <c r="X70" i="23" s="1"/>
  <c r="S71" i="23"/>
  <c r="X71" i="23" s="1"/>
  <c r="S72" i="23"/>
  <c r="X72" i="23" s="1"/>
  <c r="O23" i="23"/>
  <c r="T23" i="23" s="1"/>
  <c r="P23" i="23"/>
  <c r="U23" i="23" s="1"/>
  <c r="O24" i="23"/>
  <c r="T24" i="23" s="1"/>
  <c r="P24" i="23"/>
  <c r="U24" i="23" s="1"/>
  <c r="O25" i="23"/>
  <c r="P25" i="23"/>
  <c r="U25" i="23" s="1"/>
  <c r="O26" i="23"/>
  <c r="T26" i="23" s="1"/>
  <c r="P26" i="23"/>
  <c r="U26" i="23" s="1"/>
  <c r="O27" i="23"/>
  <c r="T27" i="23" s="1"/>
  <c r="P27" i="23"/>
  <c r="U27" i="23" s="1"/>
  <c r="O28" i="23"/>
  <c r="T28" i="23" s="1"/>
  <c r="P28" i="23"/>
  <c r="U28" i="23" s="1"/>
  <c r="O29" i="23"/>
  <c r="P29" i="23"/>
  <c r="U29" i="23" s="1"/>
  <c r="O30" i="23"/>
  <c r="T30" i="23" s="1"/>
  <c r="P30" i="23"/>
  <c r="U30" i="23" s="1"/>
  <c r="O31" i="23"/>
  <c r="T31" i="23" s="1"/>
  <c r="P31" i="23"/>
  <c r="U31" i="23" s="1"/>
  <c r="O32" i="23"/>
  <c r="T32" i="23" s="1"/>
  <c r="P32" i="23"/>
  <c r="U32" i="23" s="1"/>
  <c r="O33" i="23"/>
  <c r="Q33" i="23" s="1"/>
  <c r="P33" i="23"/>
  <c r="U33" i="23" s="1"/>
  <c r="O34" i="23"/>
  <c r="T34" i="23" s="1"/>
  <c r="P34" i="23"/>
  <c r="U34" i="23" s="1"/>
  <c r="O35" i="23"/>
  <c r="T35" i="23" s="1"/>
  <c r="P35" i="23"/>
  <c r="U35" i="23" s="1"/>
  <c r="O36" i="23"/>
  <c r="T36" i="23" s="1"/>
  <c r="P36" i="23"/>
  <c r="U36" i="23" s="1"/>
  <c r="O37" i="23"/>
  <c r="Q37" i="23" s="1"/>
  <c r="P37" i="23"/>
  <c r="U37" i="23" s="1"/>
  <c r="O38" i="23"/>
  <c r="T38" i="23" s="1"/>
  <c r="P38" i="23"/>
  <c r="U38" i="23" s="1"/>
  <c r="O39" i="23"/>
  <c r="T39" i="23" s="1"/>
  <c r="P39" i="23"/>
  <c r="U39" i="23" s="1"/>
  <c r="O40" i="23"/>
  <c r="T40" i="23" s="1"/>
  <c r="P40" i="23"/>
  <c r="U40" i="23" s="1"/>
  <c r="O41" i="23"/>
  <c r="Q41" i="23" s="1"/>
  <c r="P41" i="23"/>
  <c r="U41" i="23" s="1"/>
  <c r="O42" i="23"/>
  <c r="T42" i="23" s="1"/>
  <c r="P42" i="23"/>
  <c r="U42" i="23" s="1"/>
  <c r="O43" i="23"/>
  <c r="T43" i="23" s="1"/>
  <c r="P43" i="23"/>
  <c r="U43" i="23" s="1"/>
  <c r="O44" i="23"/>
  <c r="T44" i="23" s="1"/>
  <c r="P44" i="23"/>
  <c r="U44" i="23" s="1"/>
  <c r="O45" i="23"/>
  <c r="Q45" i="23" s="1"/>
  <c r="P45" i="23"/>
  <c r="U45" i="23" s="1"/>
  <c r="O46" i="23"/>
  <c r="T46" i="23" s="1"/>
  <c r="P46" i="23"/>
  <c r="U46" i="23" s="1"/>
  <c r="O47" i="23"/>
  <c r="T47" i="23" s="1"/>
  <c r="P47" i="23"/>
  <c r="U47" i="23" s="1"/>
  <c r="O48" i="23"/>
  <c r="T48" i="23" s="1"/>
  <c r="P48" i="23"/>
  <c r="U48" i="23" s="1"/>
  <c r="O49" i="23"/>
  <c r="Q49" i="23" s="1"/>
  <c r="P49" i="23"/>
  <c r="U49" i="23" s="1"/>
  <c r="O50" i="23"/>
  <c r="T50" i="23" s="1"/>
  <c r="P50" i="23"/>
  <c r="U50" i="23" s="1"/>
  <c r="O51" i="23"/>
  <c r="T51" i="23" s="1"/>
  <c r="P51" i="23"/>
  <c r="U51" i="23" s="1"/>
  <c r="O52" i="23"/>
  <c r="T52" i="23" s="1"/>
  <c r="P52" i="23"/>
  <c r="U52" i="23" s="1"/>
  <c r="O53" i="23"/>
  <c r="Q53" i="23" s="1"/>
  <c r="P53" i="23"/>
  <c r="U53" i="23" s="1"/>
  <c r="O54" i="23"/>
  <c r="T54" i="23" s="1"/>
  <c r="P54" i="23"/>
  <c r="U54" i="23" s="1"/>
  <c r="O55" i="23"/>
  <c r="T55" i="23" s="1"/>
  <c r="P55" i="23"/>
  <c r="U55" i="23" s="1"/>
  <c r="O56" i="23"/>
  <c r="T56" i="23" s="1"/>
  <c r="P56" i="23"/>
  <c r="U56" i="23" s="1"/>
  <c r="O57" i="23"/>
  <c r="Q57" i="23" s="1"/>
  <c r="P57" i="23"/>
  <c r="U57" i="23" s="1"/>
  <c r="O58" i="23"/>
  <c r="T58" i="23" s="1"/>
  <c r="P58" i="23"/>
  <c r="U58" i="23" s="1"/>
  <c r="O59" i="23"/>
  <c r="T59" i="23" s="1"/>
  <c r="P59" i="23"/>
  <c r="U59" i="23" s="1"/>
  <c r="O60" i="23"/>
  <c r="T60" i="23" s="1"/>
  <c r="P60" i="23"/>
  <c r="U60" i="23" s="1"/>
  <c r="O61" i="23"/>
  <c r="Q61" i="23" s="1"/>
  <c r="P61" i="23"/>
  <c r="U61" i="23" s="1"/>
  <c r="O62" i="23"/>
  <c r="T62" i="23" s="1"/>
  <c r="P62" i="23"/>
  <c r="U62" i="23" s="1"/>
  <c r="O63" i="23"/>
  <c r="T63" i="23" s="1"/>
  <c r="P63" i="23"/>
  <c r="U63" i="23" s="1"/>
  <c r="O64" i="23"/>
  <c r="T64" i="23" s="1"/>
  <c r="P64" i="23"/>
  <c r="U64" i="23" s="1"/>
  <c r="O65" i="23"/>
  <c r="Q65" i="23" s="1"/>
  <c r="P65" i="23"/>
  <c r="U65" i="23" s="1"/>
  <c r="O66" i="23"/>
  <c r="T66" i="23" s="1"/>
  <c r="P66" i="23"/>
  <c r="U66" i="23" s="1"/>
  <c r="O67" i="23"/>
  <c r="T67" i="23" s="1"/>
  <c r="P67" i="23"/>
  <c r="U67" i="23" s="1"/>
  <c r="O68" i="23"/>
  <c r="T68" i="23" s="1"/>
  <c r="P68" i="23"/>
  <c r="U68" i="23" s="1"/>
  <c r="O69" i="23"/>
  <c r="Q69" i="23" s="1"/>
  <c r="P69" i="23"/>
  <c r="U69" i="23" s="1"/>
  <c r="O70" i="23"/>
  <c r="T70" i="23" s="1"/>
  <c r="P70" i="23"/>
  <c r="U70" i="23" s="1"/>
  <c r="O71" i="23"/>
  <c r="T71" i="23" s="1"/>
  <c r="P71" i="23"/>
  <c r="U71" i="23" s="1"/>
  <c r="O72" i="23"/>
  <c r="T72" i="23" s="1"/>
  <c r="P72" i="23"/>
  <c r="U72" i="23" s="1"/>
  <c r="P22" i="23"/>
  <c r="U22" i="23" s="1"/>
  <c r="U73" i="23"/>
  <c r="K73" i="23"/>
  <c r="P73" i="23"/>
  <c r="P21" i="23"/>
  <c r="U21" i="23" s="1"/>
  <c r="Q21" i="23"/>
  <c r="V21" i="23" s="1"/>
  <c r="R21" i="23"/>
  <c r="W21" i="23" s="1"/>
  <c r="AH21" i="23"/>
  <c r="C17" i="1"/>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J21" i="23"/>
  <c r="O21" i="23" s="1"/>
  <c r="T21" i="23" s="1"/>
  <c r="A64" i="1"/>
  <c r="D64" i="1"/>
  <c r="N13" i="23"/>
  <c r="N14" i="23"/>
  <c r="N12" i="23"/>
  <c r="A75" i="1"/>
  <c r="A51" i="1"/>
  <c r="N16" i="23"/>
  <c r="Y6" i="23"/>
  <c r="AA16" i="23"/>
  <c r="AA15" i="23"/>
  <c r="AA14" i="23"/>
  <c r="AA13" i="23"/>
  <c r="AA11" i="23"/>
  <c r="AA10" i="23"/>
  <c r="AA8" i="23"/>
  <c r="N17" i="23"/>
  <c r="A22" i="23"/>
  <c r="U15" i="23" s="1"/>
  <c r="U16" i="23" s="1"/>
  <c r="C26" i="23" s="1"/>
  <c r="N15" i="23"/>
  <c r="Z19" i="23"/>
  <c r="J5" i="14"/>
  <c r="E13" i="1"/>
  <c r="F19" i="1"/>
  <c r="A19" i="1"/>
  <c r="A14" i="14"/>
  <c r="A13" i="14"/>
  <c r="A12" i="14"/>
  <c r="A11" i="14"/>
  <c r="AG21" i="23"/>
  <c r="AF21" i="23"/>
  <c r="AE21" i="23"/>
  <c r="AE19" i="23"/>
  <c r="A35" i="1"/>
  <c r="E36" i="1"/>
  <c r="A36" i="1"/>
  <c r="S2" i="12"/>
  <c r="AV3" i="12"/>
  <c r="AV4" i="12"/>
  <c r="AV5" i="12"/>
  <c r="AV6" i="12"/>
  <c r="AV7" i="12"/>
  <c r="AV8" i="12"/>
  <c r="AV9" i="12"/>
  <c r="AV10" i="12"/>
  <c r="AV11" i="12"/>
  <c r="AV12" i="12"/>
  <c r="AV13" i="12"/>
  <c r="AV14" i="12"/>
  <c r="AV15" i="12"/>
  <c r="AV16" i="12"/>
  <c r="AV17" i="12"/>
  <c r="AV18" i="12"/>
  <c r="AV19" i="12"/>
  <c r="AV20" i="12"/>
  <c r="AV21" i="12"/>
  <c r="AV22" i="12"/>
  <c r="AV23" i="12"/>
  <c r="I35" i="1" s="1"/>
  <c r="C36" i="1" s="1"/>
  <c r="AF24" i="23" s="1"/>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2" i="12"/>
  <c r="A26" i="1"/>
  <c r="A30" i="1"/>
  <c r="A68" i="1"/>
  <c r="AR3" i="12"/>
  <c r="AR2" i="12"/>
  <c r="AR5" i="12"/>
  <c r="AR4" i="12"/>
  <c r="AL3" i="12"/>
  <c r="AL2" i="12"/>
  <c r="A31" i="1"/>
  <c r="A22" i="1"/>
  <c r="D29" i="1"/>
  <c r="A29" i="1"/>
  <c r="H27" i="1"/>
  <c r="A19" i="35"/>
  <c r="A3" i="35"/>
  <c r="A2" i="35"/>
  <c r="A37" i="35"/>
  <c r="A35" i="35"/>
  <c r="A17" i="35"/>
  <c r="A15" i="35"/>
  <c r="A13" i="35"/>
  <c r="A11" i="35"/>
  <c r="A9" i="35"/>
  <c r="A7" i="35"/>
  <c r="AE24" i="23" l="1"/>
  <c r="Q27" i="23"/>
  <c r="I28" i="23"/>
  <c r="D54" i="1"/>
  <c r="AY13" i="12"/>
  <c r="Q59" i="23"/>
  <c r="Q43" i="23"/>
  <c r="Q63" i="23"/>
  <c r="Q31" i="23"/>
  <c r="Q47" i="23"/>
  <c r="Q29" i="23"/>
  <c r="Q25" i="23"/>
  <c r="Q58" i="23"/>
  <c r="Q42" i="23"/>
  <c r="Q26" i="23"/>
  <c r="V70" i="23"/>
  <c r="Q68" i="23"/>
  <c r="Q52" i="23"/>
  <c r="Q36" i="23"/>
  <c r="V67" i="23"/>
  <c r="V59" i="23"/>
  <c r="V51" i="23"/>
  <c r="V43" i="23"/>
  <c r="V35" i="23"/>
  <c r="V27" i="23"/>
  <c r="V58" i="23"/>
  <c r="V71" i="23"/>
  <c r="V63" i="23"/>
  <c r="V39" i="23"/>
  <c r="V31" i="23"/>
  <c r="V23" i="23"/>
  <c r="V54" i="23"/>
  <c r="V38" i="23"/>
  <c r="Q71" i="23"/>
  <c r="Q66" i="23"/>
  <c r="Q60" i="23"/>
  <c r="Q55" i="23"/>
  <c r="Q50" i="23"/>
  <c r="Q44" i="23"/>
  <c r="Q39" i="23"/>
  <c r="Q34" i="23"/>
  <c r="Q28" i="23"/>
  <c r="Q23" i="23"/>
  <c r="V34" i="23"/>
  <c r="Q70" i="23"/>
  <c r="Q64" i="23"/>
  <c r="Q54" i="23"/>
  <c r="Q48" i="23"/>
  <c r="Q38" i="23"/>
  <c r="Q32" i="23"/>
  <c r="V55" i="23"/>
  <c r="V47" i="23"/>
  <c r="Q72" i="23"/>
  <c r="Q67" i="23"/>
  <c r="Q62" i="23"/>
  <c r="Q56" i="23"/>
  <c r="Q51" i="23"/>
  <c r="Q46" i="23"/>
  <c r="Q40" i="23"/>
  <c r="Q35" i="23"/>
  <c r="Q30" i="23"/>
  <c r="Q24" i="23"/>
  <c r="V72" i="23"/>
  <c r="V68" i="23"/>
  <c r="V64" i="23"/>
  <c r="V60" i="23"/>
  <c r="V56" i="23"/>
  <c r="V52" i="23"/>
  <c r="V48" i="23"/>
  <c r="V44" i="23"/>
  <c r="V40" i="23"/>
  <c r="V36" i="23"/>
  <c r="V32" i="23"/>
  <c r="V28" i="23"/>
  <c r="V24" i="23"/>
  <c r="V66" i="23"/>
  <c r="V50" i="23"/>
  <c r="V42" i="23"/>
  <c r="V26" i="23"/>
  <c r="V62" i="23"/>
  <c r="V46" i="23"/>
  <c r="V30" i="23"/>
  <c r="T69" i="23"/>
  <c r="V69" i="23" s="1"/>
  <c r="T65" i="23"/>
  <c r="V65" i="23" s="1"/>
  <c r="T61" i="23"/>
  <c r="V61" i="23" s="1"/>
  <c r="T57" i="23"/>
  <c r="V57" i="23" s="1"/>
  <c r="T53" i="23"/>
  <c r="V53" i="23" s="1"/>
  <c r="T49" i="23"/>
  <c r="V49" i="23" s="1"/>
  <c r="T45" i="23"/>
  <c r="V45" i="23" s="1"/>
  <c r="T41" i="23"/>
  <c r="V41" i="23" s="1"/>
  <c r="T37" i="23"/>
  <c r="V37" i="23" s="1"/>
  <c r="T33" i="23"/>
  <c r="V33" i="23" s="1"/>
  <c r="T29" i="23"/>
  <c r="V29" i="23" s="1"/>
  <c r="T25" i="23"/>
  <c r="V25" i="23" s="1"/>
  <c r="C72" i="23"/>
  <c r="C56" i="23"/>
  <c r="C24" i="23"/>
  <c r="C60" i="23"/>
  <c r="C28" i="23"/>
  <c r="C64" i="23"/>
  <c r="C48" i="23"/>
  <c r="C32" i="23"/>
  <c r="C40" i="23"/>
  <c r="C44" i="23"/>
  <c r="C68" i="23"/>
  <c r="C52" i="23"/>
  <c r="C36" i="23"/>
  <c r="C22" i="23"/>
  <c r="C69" i="23"/>
  <c r="C65" i="23"/>
  <c r="C61" i="23"/>
  <c r="C57" i="23"/>
  <c r="C53" i="23"/>
  <c r="C49" i="23"/>
  <c r="C45" i="23"/>
  <c r="C41" i="23"/>
  <c r="C37" i="23"/>
  <c r="C33" i="23"/>
  <c r="C25" i="23"/>
  <c r="C71" i="23"/>
  <c r="C67" i="23"/>
  <c r="C63" i="23"/>
  <c r="C59" i="23"/>
  <c r="C55" i="23"/>
  <c r="C51" i="23"/>
  <c r="C47" i="23"/>
  <c r="C43" i="23"/>
  <c r="C39" i="23"/>
  <c r="C35" i="23"/>
  <c r="C31" i="23"/>
  <c r="C27" i="23"/>
  <c r="C23" i="23"/>
  <c r="C29" i="23"/>
  <c r="C70" i="23"/>
  <c r="C66" i="23"/>
  <c r="C62" i="23"/>
  <c r="C58" i="23"/>
  <c r="C54" i="23"/>
  <c r="C50" i="23"/>
  <c r="C46" i="23"/>
  <c r="C42" i="23"/>
  <c r="C38" i="23"/>
  <c r="C34" i="23"/>
  <c r="C30" i="23"/>
  <c r="AF69" i="23"/>
  <c r="AF22" i="23"/>
  <c r="AE22" i="23"/>
  <c r="U17" i="23"/>
  <c r="AF71" i="23"/>
  <c r="AF67" i="23"/>
  <c r="AF63" i="23"/>
  <c r="AF59" i="23"/>
  <c r="AF55" i="23"/>
  <c r="AF51" i="23"/>
  <c r="AF47" i="23"/>
  <c r="AF43" i="23"/>
  <c r="AF39" i="23"/>
  <c r="AF35" i="23"/>
  <c r="AF31" i="23"/>
  <c r="AF27" i="23"/>
  <c r="AF23" i="23"/>
  <c r="AF65" i="23"/>
  <c r="AF61" i="23"/>
  <c r="AF57" i="23"/>
  <c r="AF53" i="23"/>
  <c r="AF49" i="23"/>
  <c r="AF45" i="23"/>
  <c r="AF41" i="23"/>
  <c r="AF37" i="23"/>
  <c r="AF33" i="23"/>
  <c r="AF29" i="23"/>
  <c r="AF25" i="23"/>
  <c r="AF70" i="23"/>
  <c r="AF66" i="23"/>
  <c r="AF62" i="23"/>
  <c r="AF58" i="23"/>
  <c r="AF54" i="23"/>
  <c r="AF50" i="23"/>
  <c r="AF46" i="23"/>
  <c r="AF42" i="23"/>
  <c r="AF38" i="23"/>
  <c r="AF34" i="23"/>
  <c r="AF30" i="23"/>
  <c r="AF26" i="23"/>
  <c r="AF72" i="23"/>
  <c r="AF68" i="23"/>
  <c r="AF64" i="23"/>
  <c r="AF60" i="23"/>
  <c r="AF56" i="23"/>
  <c r="AF52" i="23"/>
  <c r="AF48" i="23"/>
  <c r="AF44" i="23"/>
  <c r="AF40" i="23"/>
  <c r="AF36" i="23"/>
  <c r="AF32" i="23"/>
  <c r="AF28" i="23"/>
  <c r="AE71" i="23"/>
  <c r="AE69" i="23"/>
  <c r="AE67" i="23"/>
  <c r="AE65" i="23"/>
  <c r="AE63" i="23"/>
  <c r="AE61" i="23"/>
  <c r="AE59" i="23"/>
  <c r="AE57" i="23"/>
  <c r="AE55" i="23"/>
  <c r="AE53" i="23"/>
  <c r="AE51" i="23"/>
  <c r="AE49" i="23"/>
  <c r="AE47" i="23"/>
  <c r="AE45" i="23"/>
  <c r="AE43" i="23"/>
  <c r="AE41" i="23"/>
  <c r="AE39" i="23"/>
  <c r="AE37" i="23"/>
  <c r="AE35" i="23"/>
  <c r="AE33" i="23"/>
  <c r="AE31" i="23"/>
  <c r="AE29" i="23"/>
  <c r="AE27" i="23"/>
  <c r="AE25" i="23"/>
  <c r="AE23" i="23"/>
  <c r="AE72" i="23"/>
  <c r="AE70" i="23"/>
  <c r="AE68" i="23"/>
  <c r="AE66" i="23"/>
  <c r="AE64" i="23"/>
  <c r="AE62" i="23"/>
  <c r="AE60" i="23"/>
  <c r="AE58" i="23"/>
  <c r="AE56" i="23"/>
  <c r="AE54" i="23"/>
  <c r="AE52" i="23"/>
  <c r="AE50" i="23"/>
  <c r="AE48" i="23"/>
  <c r="AE46" i="23"/>
  <c r="AE44" i="23"/>
  <c r="AE42" i="23"/>
  <c r="AE40" i="23"/>
  <c r="AE38" i="23"/>
  <c r="AE36" i="23"/>
  <c r="AE34" i="23"/>
  <c r="AE32" i="23"/>
  <c r="AE30" i="23"/>
  <c r="AE28" i="23"/>
  <c r="AE26" i="23"/>
  <c r="A5" i="35"/>
  <c r="B25" i="14"/>
  <c r="S22" i="23"/>
  <c r="N21" i="23"/>
  <c r="S21" i="23" s="1"/>
  <c r="X21" i="23" s="1"/>
  <c r="J19" i="23"/>
  <c r="J8" i="14"/>
  <c r="K8" i="14"/>
  <c r="L8" i="14"/>
  <c r="J9" i="14"/>
  <c r="K9" i="14"/>
  <c r="L9" i="14"/>
  <c r="J10" i="14"/>
  <c r="K10" i="14"/>
  <c r="L10" i="14"/>
  <c r="J11" i="14"/>
  <c r="K11" i="14"/>
  <c r="L11" i="14"/>
  <c r="J12" i="14"/>
  <c r="K12" i="14"/>
  <c r="L12" i="14"/>
  <c r="K7" i="14"/>
  <c r="L7" i="14"/>
  <c r="J7" i="14"/>
  <c r="H23" i="1"/>
  <c r="A25" i="1"/>
  <c r="D25" i="1"/>
  <c r="A7" i="1"/>
  <c r="H71" i="1"/>
  <c r="I71" i="1"/>
  <c r="M12" i="14"/>
  <c r="M9" i="14"/>
  <c r="M10" i="14"/>
  <c r="M7" i="14"/>
  <c r="M11" i="14"/>
  <c r="M8" i="14"/>
  <c r="C21" i="1"/>
  <c r="I29" i="23" l="1"/>
  <c r="AY14" i="12"/>
  <c r="X22" i="23"/>
  <c r="S12" i="23"/>
  <c r="I30" i="23" l="1"/>
  <c r="W12" i="23"/>
  <c r="X12" i="23"/>
  <c r="F77" i="1"/>
  <c r="A77" i="1"/>
  <c r="I31" i="23" l="1"/>
  <c r="AG1" i="12"/>
  <c r="AF1" i="12"/>
  <c r="AE1" i="12"/>
  <c r="AG2" i="12"/>
  <c r="AF2" i="12"/>
  <c r="AE2" i="12"/>
  <c r="AC4" i="12"/>
  <c r="J6" i="23"/>
  <c r="AO21" i="23"/>
  <c r="AN21" i="23"/>
  <c r="AP19" i="23"/>
  <c r="AM21" i="23"/>
  <c r="L29" i="14"/>
  <c r="Y3" i="12"/>
  <c r="Y2" i="12"/>
  <c r="U6" i="12"/>
  <c r="U5" i="12"/>
  <c r="U4" i="12"/>
  <c r="G47" i="35"/>
  <c r="A43" i="35"/>
  <c r="A47" i="35"/>
  <c r="A41" i="35"/>
  <c r="A39" i="35"/>
  <c r="G51" i="35"/>
  <c r="L91" i="1"/>
  <c r="B45" i="35"/>
  <c r="B49" i="35"/>
  <c r="E1" i="35"/>
  <c r="AI19" i="23"/>
  <c r="AK21" i="23"/>
  <c r="AJ21" i="23"/>
  <c r="AI21" i="23"/>
  <c r="G75" i="1"/>
  <c r="G73" i="1"/>
  <c r="G72" i="1"/>
  <c r="F75" i="1"/>
  <c r="F78" i="1"/>
  <c r="A2" i="6"/>
  <c r="A6" i="14"/>
  <c r="A7" i="14"/>
  <c r="A76" i="1"/>
  <c r="A17" i="1"/>
  <c r="A9" i="1"/>
  <c r="A1" i="1"/>
  <c r="Y19" i="23"/>
  <c r="E19" i="23"/>
  <c r="B19" i="23"/>
  <c r="A10" i="23"/>
  <c r="A4" i="23"/>
  <c r="A2" i="23"/>
  <c r="E4" i="12"/>
  <c r="C16" i="45" s="1"/>
  <c r="E3" i="12"/>
  <c r="E2" i="12"/>
  <c r="L6" i="12"/>
  <c r="L5" i="12"/>
  <c r="L4" i="12"/>
  <c r="L3" i="12"/>
  <c r="M2" i="12"/>
  <c r="M6" i="12" s="1"/>
  <c r="U3" i="12"/>
  <c r="I9" i="12" s="1"/>
  <c r="U2" i="12"/>
  <c r="W2" i="12"/>
  <c r="A78" i="1"/>
  <c r="C71" i="1"/>
  <c r="B71" i="1"/>
  <c r="A69" i="1"/>
  <c r="G31" i="1"/>
  <c r="A16" i="1"/>
  <c r="H15" i="1"/>
  <c r="A15" i="1"/>
  <c r="D11" i="1"/>
  <c r="A11" i="1"/>
  <c r="A5" i="1"/>
  <c r="A4" i="1"/>
  <c r="S6" i="12"/>
  <c r="C25" i="14"/>
  <c r="B27" i="14"/>
  <c r="A16" i="14"/>
  <c r="A4" i="14"/>
  <c r="C3" i="12"/>
  <c r="M74" i="1" l="1"/>
  <c r="M73" i="1"/>
  <c r="M72" i="1"/>
  <c r="M75" i="1" s="1"/>
  <c r="C6" i="44" s="1"/>
  <c r="A19" i="44"/>
  <c r="A29" i="45"/>
  <c r="A1" i="44"/>
  <c r="A1" i="45"/>
  <c r="E14" i="45"/>
  <c r="F14" i="45" s="1"/>
  <c r="C14" i="45"/>
  <c r="D14" i="45" s="1"/>
  <c r="E15" i="45"/>
  <c r="F15" i="45" s="1"/>
  <c r="C15" i="45"/>
  <c r="D15" i="45" s="1"/>
  <c r="E16" i="45"/>
  <c r="G15" i="45"/>
  <c r="H15" i="45" s="1"/>
  <c r="G14" i="45"/>
  <c r="H14" i="45" s="1"/>
  <c r="C25" i="45"/>
  <c r="K82" i="1"/>
  <c r="C64" i="1"/>
  <c r="I32" i="23"/>
  <c r="K86" i="1"/>
  <c r="K89" i="1"/>
  <c r="E5" i="43"/>
  <c r="C7" i="43"/>
  <c r="D8" i="43"/>
  <c r="E9" i="43"/>
  <c r="C11" i="43"/>
  <c r="D12" i="43"/>
  <c r="E13" i="43"/>
  <c r="C15" i="43"/>
  <c r="D16" i="43"/>
  <c r="E17" i="43"/>
  <c r="C19" i="43"/>
  <c r="D20" i="43"/>
  <c r="C23" i="43"/>
  <c r="D28" i="43"/>
  <c r="E29" i="43"/>
  <c r="C31" i="43"/>
  <c r="D32" i="43"/>
  <c r="E33" i="43"/>
  <c r="C35" i="43"/>
  <c r="C39" i="43"/>
  <c r="E41" i="43"/>
  <c r="C43" i="43"/>
  <c r="D44" i="43"/>
  <c r="C47" i="43"/>
  <c r="E49" i="43"/>
  <c r="C51" i="43"/>
  <c r="E53" i="43"/>
  <c r="C55" i="43"/>
  <c r="E57" i="43"/>
  <c r="C59" i="43"/>
  <c r="D60" i="43"/>
  <c r="E61" i="43"/>
  <c r="C63" i="43"/>
  <c r="C67" i="43"/>
  <c r="D68" i="43"/>
  <c r="E69" i="43"/>
  <c r="C71" i="43"/>
  <c r="E73" i="43"/>
  <c r="C75" i="43"/>
  <c r="C79" i="43"/>
  <c r="E81" i="43"/>
  <c r="D84" i="43"/>
  <c r="C4" i="43"/>
  <c r="E6" i="43"/>
  <c r="C12" i="43"/>
  <c r="D17" i="43"/>
  <c r="C20" i="43"/>
  <c r="C28" i="43"/>
  <c r="C36" i="43"/>
  <c r="C44" i="43"/>
  <c r="C52" i="43"/>
  <c r="E54" i="43"/>
  <c r="D57" i="43"/>
  <c r="C60" i="43"/>
  <c r="C68" i="43"/>
  <c r="E70" i="43"/>
  <c r="C76" i="43"/>
  <c r="C80" i="43"/>
  <c r="E82" i="43"/>
  <c r="D6" i="43"/>
  <c r="C9" i="43"/>
  <c r="C17" i="43"/>
  <c r="C25" i="43"/>
  <c r="C33" i="43"/>
  <c r="E35" i="43"/>
  <c r="C41" i="43"/>
  <c r="E43" i="43"/>
  <c r="E47" i="43"/>
  <c r="C53" i="43"/>
  <c r="E55" i="43"/>
  <c r="E59" i="43"/>
  <c r="C65" i="43"/>
  <c r="C73" i="43"/>
  <c r="E75" i="43"/>
  <c r="D78" i="43"/>
  <c r="C81" i="43"/>
  <c r="E83" i="43"/>
  <c r="E4" i="43"/>
  <c r="C6" i="43"/>
  <c r="D7" i="43"/>
  <c r="E8" i="43"/>
  <c r="C10" i="43"/>
  <c r="E12" i="43"/>
  <c r="C14" i="43"/>
  <c r="D15" i="43"/>
  <c r="E16" i="43"/>
  <c r="C18" i="43"/>
  <c r="E20" i="43"/>
  <c r="C22" i="43"/>
  <c r="C26" i="43"/>
  <c r="E28" i="43"/>
  <c r="C30" i="43"/>
  <c r="D31" i="43"/>
  <c r="E32" i="43"/>
  <c r="C34" i="43"/>
  <c r="E36" i="43"/>
  <c r="C38" i="43"/>
  <c r="D39" i="43"/>
  <c r="C42" i="43"/>
  <c r="E44" i="43"/>
  <c r="C46" i="43"/>
  <c r="D47" i="43"/>
  <c r="E48" i="43"/>
  <c r="C50" i="43"/>
  <c r="E52" i="43"/>
  <c r="C54" i="43"/>
  <c r="E56" i="43"/>
  <c r="C58" i="43"/>
  <c r="D59" i="43"/>
  <c r="E60" i="43"/>
  <c r="C62" i="43"/>
  <c r="D63" i="43"/>
  <c r="C66" i="43"/>
  <c r="E68" i="43"/>
  <c r="C70" i="43"/>
  <c r="C74" i="43"/>
  <c r="E76" i="43"/>
  <c r="C78" i="43"/>
  <c r="D79" i="43"/>
  <c r="E80" i="43"/>
  <c r="C82" i="43"/>
  <c r="D83" i="43"/>
  <c r="E84" i="43"/>
  <c r="C86" i="43"/>
  <c r="E77" i="43"/>
  <c r="C83" i="43"/>
  <c r="E85" i="43"/>
  <c r="C8" i="43"/>
  <c r="E10" i="43"/>
  <c r="D13" i="43"/>
  <c r="C16" i="43"/>
  <c r="E18" i="43"/>
  <c r="C24" i="43"/>
  <c r="E26" i="43"/>
  <c r="D29" i="43"/>
  <c r="C32" i="43"/>
  <c r="C40" i="43"/>
  <c r="E42" i="43"/>
  <c r="C48" i="43"/>
  <c r="D53" i="43"/>
  <c r="C56" i="43"/>
  <c r="D61" i="43"/>
  <c r="C64" i="43"/>
  <c r="E66" i="43"/>
  <c r="C72" i="43"/>
  <c r="E74" i="43"/>
  <c r="E78" i="43"/>
  <c r="D81" i="43"/>
  <c r="C84" i="43"/>
  <c r="C5" i="43"/>
  <c r="E7" i="43"/>
  <c r="D10" i="43"/>
  <c r="C13" i="43"/>
  <c r="E15" i="43"/>
  <c r="D18" i="43"/>
  <c r="C21" i="43"/>
  <c r="E23" i="43"/>
  <c r="D26" i="43"/>
  <c r="C29" i="43"/>
  <c r="E31" i="43"/>
  <c r="E39" i="43"/>
  <c r="D42" i="43"/>
  <c r="C45" i="43"/>
  <c r="C49" i="43"/>
  <c r="C57" i="43"/>
  <c r="D58" i="43"/>
  <c r="C61" i="43"/>
  <c r="E63" i="43"/>
  <c r="D66" i="43"/>
  <c r="C69" i="43"/>
  <c r="E71" i="43"/>
  <c r="C77" i="43"/>
  <c r="E79" i="43"/>
  <c r="C85" i="43"/>
  <c r="C3" i="43"/>
  <c r="D4" i="43"/>
  <c r="E21" i="43"/>
  <c r="D24" i="43"/>
  <c r="E25" i="43"/>
  <c r="C27" i="43"/>
  <c r="D36" i="43"/>
  <c r="E37" i="43"/>
  <c r="D40" i="43"/>
  <c r="E45" i="43"/>
  <c r="D48" i="43"/>
  <c r="D52" i="43"/>
  <c r="D56" i="43"/>
  <c r="D64" i="43"/>
  <c r="E65" i="43"/>
  <c r="D72" i="43"/>
  <c r="D76" i="43"/>
  <c r="D3" i="43"/>
  <c r="D9" i="43"/>
  <c r="E14" i="43"/>
  <c r="E22" i="43"/>
  <c r="D25" i="43"/>
  <c r="E30" i="43"/>
  <c r="D33" i="43"/>
  <c r="E38" i="43"/>
  <c r="D41" i="43"/>
  <c r="E46" i="43"/>
  <c r="D49" i="43"/>
  <c r="E62" i="43"/>
  <c r="D65" i="43"/>
  <c r="D73" i="43"/>
  <c r="D77" i="43"/>
  <c r="D85" i="43"/>
  <c r="E11" i="43"/>
  <c r="D14" i="43"/>
  <c r="E19" i="43"/>
  <c r="D22" i="43"/>
  <c r="E27" i="43"/>
  <c r="D30" i="43"/>
  <c r="D38" i="43"/>
  <c r="D46" i="43"/>
  <c r="D50" i="43"/>
  <c r="D62" i="43"/>
  <c r="E67" i="43"/>
  <c r="D70" i="43"/>
  <c r="D86" i="43"/>
  <c r="D11" i="43"/>
  <c r="D19" i="43"/>
  <c r="D23" i="43"/>
  <c r="E24" i="43"/>
  <c r="D27" i="43"/>
  <c r="D35" i="43"/>
  <c r="E40" i="43"/>
  <c r="D43" i="43"/>
  <c r="D51" i="43"/>
  <c r="D55" i="43"/>
  <c r="E64" i="43"/>
  <c r="D67" i="43"/>
  <c r="D71" i="43"/>
  <c r="E72" i="43"/>
  <c r="D75" i="43"/>
  <c r="E3" i="43"/>
  <c r="D80" i="43"/>
  <c r="D5" i="43"/>
  <c r="D21" i="43"/>
  <c r="E34" i="43"/>
  <c r="D37" i="43"/>
  <c r="D45" i="43"/>
  <c r="E50" i="43"/>
  <c r="E58" i="43"/>
  <c r="D69" i="43"/>
  <c r="E86" i="43"/>
  <c r="D34" i="43"/>
  <c r="C37" i="43"/>
  <c r="E51" i="43"/>
  <c r="D54" i="43"/>
  <c r="D74" i="43"/>
  <c r="D82" i="43"/>
  <c r="K88" i="1"/>
  <c r="A91" i="1"/>
  <c r="A1" i="23"/>
  <c r="H52" i="1"/>
  <c r="H44" i="1"/>
  <c r="H48" i="1" s="1"/>
  <c r="H41" i="1"/>
  <c r="D41" i="1"/>
  <c r="L41" i="1"/>
  <c r="AL46" i="23"/>
  <c r="AL23" i="23"/>
  <c r="L36" i="1"/>
  <c r="H37" i="1" s="1"/>
  <c r="J52" i="1" s="1"/>
  <c r="C13" i="45" s="1"/>
  <c r="AG26" i="23"/>
  <c r="AG30" i="23"/>
  <c r="AG34" i="23"/>
  <c r="AG38" i="23"/>
  <c r="AG42" i="23"/>
  <c r="AG46" i="23"/>
  <c r="AG50" i="23"/>
  <c r="AG54" i="23"/>
  <c r="AG58" i="23"/>
  <c r="AG62" i="23"/>
  <c r="AG66" i="23"/>
  <c r="AG70" i="23"/>
  <c r="AG25" i="23"/>
  <c r="AG29" i="23"/>
  <c r="AG33" i="23"/>
  <c r="AG37" i="23"/>
  <c r="AG41" i="23"/>
  <c r="AG45" i="23"/>
  <c r="AG49" i="23"/>
  <c r="AG53" i="23"/>
  <c r="AG57" i="23"/>
  <c r="AG61" i="23"/>
  <c r="AG65" i="23"/>
  <c r="AG69" i="23"/>
  <c r="AG22" i="23"/>
  <c r="AH22" i="23" s="1"/>
  <c r="AG24" i="23"/>
  <c r="AG28" i="23"/>
  <c r="AG32" i="23"/>
  <c r="AG36" i="23"/>
  <c r="AG40" i="23"/>
  <c r="AG44" i="23"/>
  <c r="AG48" i="23"/>
  <c r="AG52" i="23"/>
  <c r="AG56" i="23"/>
  <c r="AG60" i="23"/>
  <c r="AG64" i="23"/>
  <c r="AG68" i="23"/>
  <c r="AG72" i="23"/>
  <c r="AG23" i="23"/>
  <c r="AG27" i="23"/>
  <c r="AG31" i="23"/>
  <c r="AG35" i="23"/>
  <c r="AG39" i="23"/>
  <c r="AG43" i="23"/>
  <c r="AG47" i="23"/>
  <c r="AG51" i="23"/>
  <c r="AG55" i="23"/>
  <c r="AG59" i="23"/>
  <c r="AG63" i="23"/>
  <c r="AG67" i="23"/>
  <c r="AG71" i="23"/>
  <c r="L2" i="12"/>
  <c r="E76" i="1"/>
  <c r="D39" i="35"/>
  <c r="D43" i="35"/>
  <c r="D41" i="35"/>
  <c r="E78" i="1"/>
  <c r="C18" i="14"/>
  <c r="E77" i="1"/>
  <c r="AA2" i="12"/>
  <c r="AG3" i="12"/>
  <c r="AC2" i="12"/>
  <c r="AF3" i="12"/>
  <c r="AE3" i="12"/>
  <c r="AB2" i="12"/>
  <c r="AB3" i="12"/>
  <c r="AB4" i="12" s="1"/>
  <c r="AA3" i="12"/>
  <c r="AA4" i="12" s="1"/>
  <c r="AJ53" i="23"/>
  <c r="AK68" i="23"/>
  <c r="AK55" i="23"/>
  <c r="AK47" i="23"/>
  <c r="AK44" i="23"/>
  <c r="AJ38" i="23"/>
  <c r="AJ61" i="23"/>
  <c r="AI32" i="23"/>
  <c r="AJ30" i="23"/>
  <c r="AI66" i="23"/>
  <c r="AI72" i="23"/>
  <c r="AI59" i="23"/>
  <c r="AI51" i="23"/>
  <c r="AI42" i="23"/>
  <c r="AK36" i="23"/>
  <c r="AI28" i="23"/>
  <c r="AJ70" i="23"/>
  <c r="AK63" i="23"/>
  <c r="AJ57" i="23"/>
  <c r="AJ49" i="23"/>
  <c r="AI40" i="23"/>
  <c r="AI34" i="23"/>
  <c r="AK26" i="23"/>
  <c r="AJ65" i="23"/>
  <c r="AK60" i="23"/>
  <c r="AI58" i="23"/>
  <c r="AI56" i="23"/>
  <c r="AK54" i="23"/>
  <c r="AK52" i="23"/>
  <c r="AI50" i="23"/>
  <c r="AI48" i="23"/>
  <c r="AJ46" i="23"/>
  <c r="AK39" i="23"/>
  <c r="AJ37" i="23"/>
  <c r="AI35" i="23"/>
  <c r="AJ33" i="23"/>
  <c r="AK31" i="23"/>
  <c r="AJ29" i="23"/>
  <c r="AI27" i="23"/>
  <c r="AI64" i="23"/>
  <c r="AJ45" i="23"/>
  <c r="AK71" i="23"/>
  <c r="AJ69" i="23"/>
  <c r="AI67" i="23"/>
  <c r="AK62" i="23"/>
  <c r="AI43" i="23"/>
  <c r="AJ41" i="23"/>
  <c r="B72" i="1"/>
  <c r="B75" i="1"/>
  <c r="B73" i="1"/>
  <c r="B74" i="1"/>
  <c r="A51" i="35"/>
  <c r="A1" i="14"/>
  <c r="A1" i="35"/>
  <c r="G74" i="1"/>
  <c r="F73" i="1"/>
  <c r="F72" i="1"/>
  <c r="A1" i="6"/>
  <c r="M5" i="12"/>
  <c r="I2" i="12"/>
  <c r="I6" i="12"/>
  <c r="I5" i="12"/>
  <c r="I4" i="12"/>
  <c r="I3" i="12"/>
  <c r="A29" i="14"/>
  <c r="A2" i="1"/>
  <c r="C24" i="14" l="1"/>
  <c r="C19" i="14"/>
  <c r="C20" i="14"/>
  <c r="C21" i="14"/>
  <c r="G22" i="23"/>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 r="G65" i="23" s="1"/>
  <c r="G66" i="23" s="1"/>
  <c r="G67" i="23" s="1"/>
  <c r="G68" i="23" s="1"/>
  <c r="G69" i="23" s="1"/>
  <c r="G70" i="23" s="1"/>
  <c r="G71" i="23" s="1"/>
  <c r="G72" i="23" s="1"/>
  <c r="C8" i="45"/>
  <c r="F16" i="45"/>
  <c r="G16" i="45"/>
  <c r="H16" i="45" s="1"/>
  <c r="H22" i="23"/>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H43" i="23" s="1"/>
  <c r="H44" i="23" s="1"/>
  <c r="H45" i="23" s="1"/>
  <c r="H46" i="23" s="1"/>
  <c r="H47" i="23" s="1"/>
  <c r="H48" i="23" s="1"/>
  <c r="H49" i="23" s="1"/>
  <c r="H50" i="23" s="1"/>
  <c r="H51" i="23" s="1"/>
  <c r="H52" i="23" s="1"/>
  <c r="H53" i="23" s="1"/>
  <c r="H54" i="23" s="1"/>
  <c r="H55" i="23" s="1"/>
  <c r="H56" i="23" s="1"/>
  <c r="H57" i="23" s="1"/>
  <c r="H58" i="23" s="1"/>
  <c r="H59" i="23" s="1"/>
  <c r="H60" i="23" s="1"/>
  <c r="H61" i="23" s="1"/>
  <c r="H62" i="23" s="1"/>
  <c r="H63" i="23" s="1"/>
  <c r="H64" i="23" s="1"/>
  <c r="H65" i="23" s="1"/>
  <c r="H66" i="23" s="1"/>
  <c r="H67" i="23" s="1"/>
  <c r="H68" i="23" s="1"/>
  <c r="H69" i="23" s="1"/>
  <c r="H70" i="23" s="1"/>
  <c r="H71" i="23" s="1"/>
  <c r="H72" i="23" s="1"/>
  <c r="C9" i="45"/>
  <c r="D27" i="45"/>
  <c r="E25" i="45"/>
  <c r="C19" i="1"/>
  <c r="D13" i="45"/>
  <c r="E13" i="45"/>
  <c r="F22" i="23"/>
  <c r="F23" i="23" s="1"/>
  <c r="F24" i="23" s="1"/>
  <c r="F25" i="23" s="1"/>
  <c r="F26" i="23" s="1"/>
  <c r="F27" i="23" s="1"/>
  <c r="F28" i="23" s="1"/>
  <c r="F29" i="23" s="1"/>
  <c r="F30" i="23" s="1"/>
  <c r="F31" i="23" s="1"/>
  <c r="F32" i="23" s="1"/>
  <c r="F33" i="23" s="1"/>
  <c r="F34" i="23" s="1"/>
  <c r="F35" i="23" s="1"/>
  <c r="F36" i="23" s="1"/>
  <c r="F37" i="23" s="1"/>
  <c r="F38" i="23" s="1"/>
  <c r="F39" i="23" s="1"/>
  <c r="F40" i="23" s="1"/>
  <c r="F41" i="23" s="1"/>
  <c r="F42" i="23" s="1"/>
  <c r="F43" i="23" s="1"/>
  <c r="F44" i="23" s="1"/>
  <c r="F45" i="23" s="1"/>
  <c r="F46" i="23" s="1"/>
  <c r="F47" i="23" s="1"/>
  <c r="F48" i="23" s="1"/>
  <c r="F49" i="23" s="1"/>
  <c r="F50" i="23" s="1"/>
  <c r="F51" i="23" s="1"/>
  <c r="F52" i="23" s="1"/>
  <c r="F53" i="23" s="1"/>
  <c r="F54" i="23" s="1"/>
  <c r="F55" i="23" s="1"/>
  <c r="F56" i="23" s="1"/>
  <c r="F57" i="23" s="1"/>
  <c r="F58" i="23" s="1"/>
  <c r="F59" i="23" s="1"/>
  <c r="F60" i="23" s="1"/>
  <c r="F61" i="23" s="1"/>
  <c r="F62" i="23" s="1"/>
  <c r="F63" i="23" s="1"/>
  <c r="F64" i="23" s="1"/>
  <c r="F65" i="23" s="1"/>
  <c r="F66" i="23" s="1"/>
  <c r="F67" i="23" s="1"/>
  <c r="F68" i="23" s="1"/>
  <c r="F69" i="23" s="1"/>
  <c r="F70" i="23" s="1"/>
  <c r="F71" i="23" s="1"/>
  <c r="F72" i="23" s="1"/>
  <c r="I33" i="23"/>
  <c r="E14" i="23"/>
  <c r="A59" i="1"/>
  <c r="I87" i="1"/>
  <c r="E86" i="1"/>
  <c r="J53" i="1"/>
  <c r="H53" i="1"/>
  <c r="BB12" i="12"/>
  <c r="BC12" i="12"/>
  <c r="D45" i="1"/>
  <c r="D46" i="1"/>
  <c r="H47" i="1"/>
  <c r="D74" i="1"/>
  <c r="U6" i="23" s="1"/>
  <c r="AH26" i="23"/>
  <c r="AH30" i="23"/>
  <c r="AH34" i="23"/>
  <c r="AH38" i="23"/>
  <c r="AH42" i="23"/>
  <c r="AH46" i="23"/>
  <c r="AH50" i="23"/>
  <c r="AH54" i="23"/>
  <c r="AH58" i="23"/>
  <c r="AH62" i="23"/>
  <c r="AH66" i="23"/>
  <c r="AH70" i="23"/>
  <c r="AH41" i="23"/>
  <c r="AH24" i="23"/>
  <c r="AH28" i="23"/>
  <c r="AH32" i="23"/>
  <c r="AH36" i="23"/>
  <c r="AH40" i="23"/>
  <c r="AH44" i="23"/>
  <c r="AH48" i="23"/>
  <c r="AH52" i="23"/>
  <c r="AH56" i="23"/>
  <c r="AH60" i="23"/>
  <c r="AH64" i="23"/>
  <c r="AH68" i="23"/>
  <c r="AH72" i="23"/>
  <c r="AH29" i="23"/>
  <c r="AH23" i="23"/>
  <c r="AH27" i="23"/>
  <c r="AH31" i="23"/>
  <c r="AH35" i="23"/>
  <c r="AH39" i="23"/>
  <c r="AH43" i="23"/>
  <c r="AH47" i="23"/>
  <c r="AH51" i="23"/>
  <c r="AH55" i="23"/>
  <c r="AH59" i="23"/>
  <c r="AH63" i="23"/>
  <c r="AH67" i="23"/>
  <c r="AH71" i="23"/>
  <c r="AH25" i="23"/>
  <c r="AH33" i="23"/>
  <c r="AH37" i="23"/>
  <c r="AH45" i="23"/>
  <c r="AH49" i="23"/>
  <c r="AH53" i="23"/>
  <c r="AH57" i="23"/>
  <c r="AH61" i="23"/>
  <c r="AH65" i="23"/>
  <c r="AH69" i="23"/>
  <c r="AL33" i="23"/>
  <c r="AL50" i="23"/>
  <c r="AL30" i="23"/>
  <c r="AL34" i="23"/>
  <c r="AL55" i="23"/>
  <c r="AL63" i="23"/>
  <c r="AL66" i="23"/>
  <c r="AL37" i="23"/>
  <c r="AL61" i="23"/>
  <c r="AL25" i="23"/>
  <c r="AL71" i="23"/>
  <c r="AL29" i="23"/>
  <c r="AL49" i="23"/>
  <c r="AL26" i="23"/>
  <c r="AL42" i="23"/>
  <c r="AL58" i="23"/>
  <c r="AL39" i="23"/>
  <c r="AL43" i="23"/>
  <c r="AL38" i="23"/>
  <c r="AL54" i="23"/>
  <c r="AL70" i="23"/>
  <c r="AL69" i="23"/>
  <c r="AL62" i="23"/>
  <c r="AL53" i="23"/>
  <c r="AL27" i="23"/>
  <c r="AL31" i="23"/>
  <c r="AL35" i="23"/>
  <c r="AL41" i="23"/>
  <c r="AL45" i="23"/>
  <c r="AL51" i="23"/>
  <c r="AL59" i="23"/>
  <c r="AL67" i="23"/>
  <c r="AL24" i="23"/>
  <c r="AL28" i="23"/>
  <c r="AL32" i="23"/>
  <c r="AL36" i="23"/>
  <c r="AL40" i="23"/>
  <c r="AL44" i="23"/>
  <c r="AL48" i="23"/>
  <c r="AL52" i="23"/>
  <c r="AL56" i="23"/>
  <c r="AL60" i="23"/>
  <c r="AL64" i="23"/>
  <c r="AL68" i="23"/>
  <c r="AL72" i="23"/>
  <c r="AL47" i="23"/>
  <c r="AL57" i="23"/>
  <c r="AL65" i="23"/>
  <c r="AK70" i="23"/>
  <c r="AI63" i="23"/>
  <c r="AK66" i="23"/>
  <c r="I76" i="1"/>
  <c r="AK29" i="23"/>
  <c r="AJ64" i="23"/>
  <c r="C22" i="14"/>
  <c r="C23" i="14" s="1"/>
  <c r="AJ60" i="23"/>
  <c r="AK50" i="23"/>
  <c r="AK30" i="23"/>
  <c r="I75" i="1"/>
  <c r="I72" i="1"/>
  <c r="I73" i="1"/>
  <c r="I74" i="1"/>
  <c r="AJ55" i="23"/>
  <c r="AJ67" i="23"/>
  <c r="AK37" i="23"/>
  <c r="AK57" i="23"/>
  <c r="AI36" i="23"/>
  <c r="AJ48" i="23"/>
  <c r="AJ35" i="23"/>
  <c r="AK48" i="23"/>
  <c r="AI61" i="23"/>
  <c r="AJ27" i="23"/>
  <c r="AJ56" i="23"/>
  <c r="AJ72" i="23"/>
  <c r="AK38" i="23"/>
  <c r="AK58" i="23"/>
  <c r="AI38" i="23"/>
  <c r="AI53" i="23"/>
  <c r="AJ36" i="23"/>
  <c r="AJ52" i="23"/>
  <c r="AJ62" i="23"/>
  <c r="AJ68" i="23"/>
  <c r="AK34" i="23"/>
  <c r="AK42" i="23"/>
  <c r="AK53" i="23"/>
  <c r="AK61" i="23"/>
  <c r="AK72" i="23"/>
  <c r="AI62" i="23"/>
  <c r="AI55" i="23"/>
  <c r="AJ44" i="23"/>
  <c r="AI70" i="23"/>
  <c r="AI41" i="23"/>
  <c r="AJ40" i="23"/>
  <c r="AJ63" i="23"/>
  <c r="AK45" i="23"/>
  <c r="AK56" i="23"/>
  <c r="AI30" i="23"/>
  <c r="AI68" i="23"/>
  <c r="AI57" i="23"/>
  <c r="AI46" i="23"/>
  <c r="AI54" i="23"/>
  <c r="AI33" i="23"/>
  <c r="AI49" i="23"/>
  <c r="AJ43" i="23"/>
  <c r="AJ47" i="23"/>
  <c r="AJ51" i="23"/>
  <c r="AK33" i="23"/>
  <c r="AK49" i="23"/>
  <c r="AK65" i="23"/>
  <c r="AI52" i="23"/>
  <c r="AI60" i="23"/>
  <c r="AI39" i="23"/>
  <c r="AI71" i="23"/>
  <c r="AJ42" i="23"/>
  <c r="AJ50" i="23"/>
  <c r="AJ54" i="23"/>
  <c r="AJ58" i="23"/>
  <c r="AJ66" i="23"/>
  <c r="AK28" i="23"/>
  <c r="AK32" i="23"/>
  <c r="AI29" i="23"/>
  <c r="AI37" i="23"/>
  <c r="AI45" i="23"/>
  <c r="AI69" i="23"/>
  <c r="AJ28" i="23"/>
  <c r="AJ32" i="23"/>
  <c r="AK46" i="23"/>
  <c r="AI65" i="23"/>
  <c r="AJ31" i="23"/>
  <c r="AJ39" i="23"/>
  <c r="AJ59" i="23"/>
  <c r="AJ71" i="23"/>
  <c r="AK41" i="23"/>
  <c r="AK69" i="23"/>
  <c r="AI44" i="23"/>
  <c r="AI31" i="23"/>
  <c r="AI47" i="23"/>
  <c r="AJ34" i="23"/>
  <c r="AK40" i="23"/>
  <c r="AK64" i="23"/>
  <c r="AK27" i="23"/>
  <c r="AK35" i="23"/>
  <c r="AK43" i="23"/>
  <c r="AK51" i="23"/>
  <c r="AK59" i="23"/>
  <c r="AK67" i="23"/>
  <c r="AJ26" i="23"/>
  <c r="AI26" i="23"/>
  <c r="AK25" i="23"/>
  <c r="AI25" i="23"/>
  <c r="AJ25" i="23"/>
  <c r="AJ24" i="23"/>
  <c r="AI24" i="23"/>
  <c r="AK24" i="23"/>
  <c r="AI23" i="23"/>
  <c r="AG4" i="12"/>
  <c r="AJ23" i="23"/>
  <c r="AK23" i="23"/>
  <c r="AE4" i="12"/>
  <c r="AF4" i="12"/>
  <c r="A8" i="23"/>
  <c r="C27" i="14" l="1"/>
  <c r="I34" i="23"/>
  <c r="D9" i="45"/>
  <c r="E9" i="45"/>
  <c r="E7" i="45"/>
  <c r="D7" i="45"/>
  <c r="C10" i="45"/>
  <c r="D10" i="45" s="1"/>
  <c r="E72" i="1"/>
  <c r="F74" i="1"/>
  <c r="E73" i="1"/>
  <c r="E75" i="1"/>
  <c r="E26" i="45"/>
  <c r="G25" i="45"/>
  <c r="F27" i="45"/>
  <c r="D8" i="45"/>
  <c r="E8" i="45"/>
  <c r="F13" i="45"/>
  <c r="G13" i="45"/>
  <c r="H13" i="45" s="1"/>
  <c r="BD12" i="12"/>
  <c r="K52" i="1" s="1"/>
  <c r="H54" i="1"/>
  <c r="BB13" i="12"/>
  <c r="J54" i="1"/>
  <c r="BC13" i="12"/>
  <c r="E22" i="23"/>
  <c r="G26" i="45" l="1"/>
  <c r="H27" i="45"/>
  <c r="I35" i="23"/>
  <c r="F7" i="45"/>
  <c r="G7" i="45"/>
  <c r="E10" i="45"/>
  <c r="F10" i="45" s="1"/>
  <c r="F8" i="45"/>
  <c r="G8" i="45"/>
  <c r="H8" i="45" s="1"/>
  <c r="D18" i="45"/>
  <c r="C18" i="45" s="1"/>
  <c r="F9" i="45"/>
  <c r="G9" i="45"/>
  <c r="H9" i="45" s="1"/>
  <c r="BB14" i="12"/>
  <c r="BC14" i="12"/>
  <c r="BD13" i="12"/>
  <c r="K53" i="1" s="1"/>
  <c r="E24" i="23"/>
  <c r="E28" i="23"/>
  <c r="E32" i="23"/>
  <c r="E36" i="23"/>
  <c r="E40" i="23"/>
  <c r="E44" i="23"/>
  <c r="E48" i="23"/>
  <c r="E52" i="23"/>
  <c r="E56" i="23"/>
  <c r="E60" i="23"/>
  <c r="E64" i="23"/>
  <c r="E68" i="23"/>
  <c r="E72" i="23"/>
  <c r="E31" i="23"/>
  <c r="E43" i="23"/>
  <c r="E51" i="23"/>
  <c r="E59" i="23"/>
  <c r="E67" i="23"/>
  <c r="E25" i="23"/>
  <c r="E29" i="23"/>
  <c r="E33" i="23"/>
  <c r="E37" i="23"/>
  <c r="E41" i="23"/>
  <c r="E45" i="23"/>
  <c r="E49" i="23"/>
  <c r="E53" i="23"/>
  <c r="E57" i="23"/>
  <c r="E61" i="23"/>
  <c r="E65" i="23"/>
  <c r="E69" i="23"/>
  <c r="E23" i="23"/>
  <c r="E27" i="23"/>
  <c r="E35" i="23"/>
  <c r="E39" i="23"/>
  <c r="E47" i="23"/>
  <c r="E55" i="23"/>
  <c r="E63" i="23"/>
  <c r="E71" i="23"/>
  <c r="E26" i="23"/>
  <c r="E42" i="23"/>
  <c r="E58" i="23"/>
  <c r="E30" i="23"/>
  <c r="E46" i="23"/>
  <c r="E62" i="23"/>
  <c r="E38" i="23"/>
  <c r="E54" i="23"/>
  <c r="E70" i="23"/>
  <c r="E34" i="23"/>
  <c r="E50" i="23"/>
  <c r="E66" i="23"/>
  <c r="C2" i="14"/>
  <c r="F18" i="45" l="1"/>
  <c r="E18" i="45" s="1"/>
  <c r="I36" i="23"/>
  <c r="H7" i="45"/>
  <c r="G10" i="45"/>
  <c r="H10" i="45" s="1"/>
  <c r="BD14" i="12"/>
  <c r="K54" i="1" s="1"/>
  <c r="H18" i="45" l="1"/>
  <c r="G18" i="45" s="1"/>
  <c r="I37" i="23"/>
  <c r="I38" i="23" l="1"/>
  <c r="J20" i="23"/>
  <c r="A53" i="1"/>
  <c r="B18" i="14"/>
  <c r="E6" i="23"/>
  <c r="I39" i="23" l="1"/>
  <c r="E6" i="45"/>
  <c r="E24" i="45"/>
  <c r="E59" i="1"/>
  <c r="O20" i="23"/>
  <c r="R20" i="23" s="1"/>
  <c r="A54" i="1"/>
  <c r="F14" i="23"/>
  <c r="K76" i="1"/>
  <c r="I40" i="23" l="1"/>
  <c r="G24" i="45"/>
  <c r="G6" i="45"/>
  <c r="I59" i="1"/>
  <c r="K59" i="1" s="1"/>
  <c r="G14" i="23"/>
  <c r="T20" i="23"/>
  <c r="I41" i="23" l="1"/>
  <c r="I42" i="23" l="1"/>
  <c r="B19" i="14"/>
  <c r="B20" i="14" s="1"/>
  <c r="B21" i="14" s="1"/>
  <c r="B22" i="14" s="1"/>
  <c r="B23" i="14" s="1"/>
  <c r="B24" i="14" s="1"/>
  <c r="I43" i="23" l="1"/>
  <c r="E1" i="1"/>
  <c r="I44" i="23" l="1"/>
  <c r="I57" i="6"/>
  <c r="F1" i="6"/>
  <c r="I45" i="23" l="1"/>
  <c r="I46" i="23" l="1"/>
  <c r="I47" i="23" l="1"/>
  <c r="I48" i="23" l="1"/>
  <c r="I49" i="23" l="1"/>
  <c r="I50" i="23" l="1"/>
  <c r="I51" i="23" l="1"/>
  <c r="I52" i="23" l="1"/>
  <c r="I53" i="23" l="1"/>
  <c r="I54" i="23" l="1"/>
  <c r="I55" i="23" l="1"/>
  <c r="I56" i="23" l="1"/>
  <c r="C66" i="1"/>
  <c r="W43" i="23"/>
  <c r="W70" i="23"/>
  <c r="M53" i="23"/>
  <c r="M32" i="23"/>
  <c r="R37" i="23"/>
  <c r="W27" i="23"/>
  <c r="R32" i="23"/>
  <c r="W61" i="23"/>
  <c r="W33" i="23"/>
  <c r="R52" i="23"/>
  <c r="M25" i="23"/>
  <c r="W28" i="23"/>
  <c r="R56" i="23"/>
  <c r="W30" i="23"/>
  <c r="R49" i="23"/>
  <c r="R63" i="23"/>
  <c r="M57" i="23"/>
  <c r="W60" i="23"/>
  <c r="W44" i="23"/>
  <c r="W50" i="23"/>
  <c r="R58" i="23"/>
  <c r="W34" i="23"/>
  <c r="R61" i="23"/>
  <c r="R47" i="23"/>
  <c r="W52" i="23"/>
  <c r="W37" i="23"/>
  <c r="W25" i="23"/>
  <c r="R39" i="23"/>
  <c r="R60" i="23"/>
  <c r="W69" i="23"/>
  <c r="R46" i="23"/>
  <c r="W24" i="23"/>
  <c r="R41" i="23"/>
  <c r="W59" i="23"/>
  <c r="W41" i="23"/>
  <c r="M44" i="23"/>
  <c r="W36" i="23"/>
  <c r="R59" i="23"/>
  <c r="R55" i="23"/>
  <c r="M61" i="23"/>
  <c r="W57" i="23"/>
  <c r="M67" i="23"/>
  <c r="M37" i="23"/>
  <c r="AO37" i="23" s="1"/>
  <c r="W26" i="23"/>
  <c r="R53" i="23"/>
  <c r="R36" i="23"/>
  <c r="R69" i="23"/>
  <c r="M68" i="23"/>
  <c r="M70" i="23"/>
  <c r="W38" i="23"/>
  <c r="AQ32" i="23" l="1"/>
  <c r="AP32" i="23"/>
  <c r="I57" i="23"/>
  <c r="AQ53" i="23"/>
  <c r="AN53" i="23"/>
  <c r="AP53" i="23"/>
  <c r="AM53" i="23"/>
  <c r="AO53" i="23"/>
  <c r="AP61" i="23"/>
  <c r="AN61" i="23"/>
  <c r="AO61" i="23"/>
  <c r="AM61" i="23"/>
  <c r="AQ61" i="23"/>
  <c r="AP37" i="23"/>
  <c r="AN37" i="23"/>
  <c r="AO32" i="23"/>
  <c r="AN32" i="23"/>
  <c r="AM32" i="23"/>
  <c r="AQ37" i="23"/>
  <c r="AM37" i="23"/>
  <c r="W42" i="23"/>
  <c r="M72" i="23"/>
  <c r="W23" i="23"/>
  <c r="W56" i="23"/>
  <c r="W40" i="23"/>
  <c r="M35" i="23"/>
  <c r="M43" i="23"/>
  <c r="R44" i="23"/>
  <c r="AM44" i="23" s="1"/>
  <c r="M24" i="23"/>
  <c r="W66" i="23"/>
  <c r="W32" i="23"/>
  <c r="R48" i="23"/>
  <c r="R27" i="23"/>
  <c r="M34" i="23"/>
  <c r="R26" i="23"/>
  <c r="R31" i="23"/>
  <c r="R54" i="23"/>
  <c r="W46" i="23"/>
  <c r="R28" i="23"/>
  <c r="W35" i="23"/>
  <c r="R62" i="23"/>
  <c r="R66" i="23"/>
  <c r="R68" i="23"/>
  <c r="AM68" i="23" s="1"/>
  <c r="W65" i="23"/>
  <c r="W47" i="23"/>
  <c r="M60" i="23"/>
  <c r="R72" i="23"/>
  <c r="M41" i="23"/>
  <c r="M54" i="23"/>
  <c r="W54" i="23"/>
  <c r="R23" i="23"/>
  <c r="M47" i="23"/>
  <c r="W62" i="23"/>
  <c r="M59" i="23"/>
  <c r="M28" i="23"/>
  <c r="R29" i="23"/>
  <c r="W63" i="23"/>
  <c r="M38" i="23"/>
  <c r="R57" i="23"/>
  <c r="AN57" i="23" s="1"/>
  <c r="W64" i="23"/>
  <c r="M39" i="23"/>
  <c r="R45" i="23"/>
  <c r="R71" i="23"/>
  <c r="M50" i="23"/>
  <c r="R51" i="23"/>
  <c r="W71" i="23"/>
  <c r="M31" i="23"/>
  <c r="R38" i="23"/>
  <c r="M63" i="23"/>
  <c r="W68" i="23"/>
  <c r="R34" i="23"/>
  <c r="M45" i="23"/>
  <c r="M29" i="23"/>
  <c r="M36" i="23"/>
  <c r="AQ36" i="23" s="1"/>
  <c r="R40" i="23"/>
  <c r="R67" i="23"/>
  <c r="AN67" i="23" s="1"/>
  <c r="R24" i="23"/>
  <c r="R70" i="23"/>
  <c r="AP70" i="23" s="1"/>
  <c r="M46" i="23"/>
  <c r="R30" i="23"/>
  <c r="M55" i="23"/>
  <c r="AQ55" i="23" s="1"/>
  <c r="W31" i="23"/>
  <c r="W51" i="23"/>
  <c r="M33" i="23"/>
  <c r="R50" i="23"/>
  <c r="R65" i="23"/>
  <c r="W72" i="23"/>
  <c r="M42" i="23"/>
  <c r="W55" i="23"/>
  <c r="R43" i="23"/>
  <c r="W29" i="23"/>
  <c r="M48" i="23"/>
  <c r="M58" i="23"/>
  <c r="W67" i="23"/>
  <c r="M23" i="23"/>
  <c r="M64" i="23"/>
  <c r="R33" i="23"/>
  <c r="M71" i="23"/>
  <c r="R25" i="23"/>
  <c r="AN25" i="23" s="1"/>
  <c r="R35" i="23"/>
  <c r="W49" i="23"/>
  <c r="M56" i="23"/>
  <c r="M66" i="23"/>
  <c r="M26" i="23"/>
  <c r="W48" i="23"/>
  <c r="M40" i="23"/>
  <c r="M30" i="23"/>
  <c r="W53" i="23"/>
  <c r="M52" i="23"/>
  <c r="AQ52" i="23" s="1"/>
  <c r="M65" i="23"/>
  <c r="M51" i="23"/>
  <c r="R42" i="23"/>
  <c r="W45" i="23"/>
  <c r="M69" i="23"/>
  <c r="W39" i="23"/>
  <c r="M49" i="23"/>
  <c r="M62" i="23"/>
  <c r="R64" i="23"/>
  <c r="W58" i="23"/>
  <c r="M27" i="23"/>
  <c r="AQ58" i="23" l="1"/>
  <c r="AO57" i="23"/>
  <c r="AN44" i="23"/>
  <c r="AQ46" i="23"/>
  <c r="I58" i="23"/>
  <c r="AM70" i="23"/>
  <c r="AQ43" i="23"/>
  <c r="AQ40" i="23"/>
  <c r="AQ51" i="23"/>
  <c r="AO34" i="23"/>
  <c r="AN34" i="23"/>
  <c r="AM34" i="23"/>
  <c r="AP34" i="23"/>
  <c r="AO24" i="23"/>
  <c r="AN24" i="23"/>
  <c r="AM24" i="23"/>
  <c r="AP24" i="23"/>
  <c r="AO52" i="23"/>
  <c r="AP52" i="23"/>
  <c r="AN52" i="23"/>
  <c r="AM52" i="23"/>
  <c r="AO71" i="23"/>
  <c r="AM71" i="23"/>
  <c r="AP71" i="23"/>
  <c r="AN71" i="23"/>
  <c r="AP64" i="23"/>
  <c r="AM64" i="23"/>
  <c r="AO64" i="23"/>
  <c r="AN64" i="23"/>
  <c r="AP48" i="23"/>
  <c r="AM48" i="23"/>
  <c r="AO48" i="23"/>
  <c r="AN48" i="23"/>
  <c r="AQ50" i="23"/>
  <c r="AQ30" i="23"/>
  <c r="AQ38" i="23"/>
  <c r="AM59" i="23"/>
  <c r="AO59" i="23"/>
  <c r="AN59" i="23"/>
  <c r="AP59" i="23"/>
  <c r="AM47" i="23"/>
  <c r="AO47" i="23"/>
  <c r="AN47" i="23"/>
  <c r="AP47" i="23"/>
  <c r="AQ47" i="23"/>
  <c r="AQ26" i="23"/>
  <c r="AO27" i="23"/>
  <c r="AP27" i="23"/>
  <c r="AM27" i="23"/>
  <c r="AN27" i="23"/>
  <c r="AQ64" i="23"/>
  <c r="AN49" i="23"/>
  <c r="AM49" i="23"/>
  <c r="AP49" i="23"/>
  <c r="AO49" i="23"/>
  <c r="AM69" i="23"/>
  <c r="AP69" i="23"/>
  <c r="AN69" i="23"/>
  <c r="AO69" i="23"/>
  <c r="AQ42" i="23"/>
  <c r="AM51" i="23"/>
  <c r="AP51" i="23"/>
  <c r="AO51" i="23"/>
  <c r="AN51" i="23"/>
  <c r="AN30" i="23"/>
  <c r="AM30" i="23"/>
  <c r="AO30" i="23"/>
  <c r="AP30" i="23"/>
  <c r="AP66" i="23"/>
  <c r="AM66" i="23"/>
  <c r="AN66" i="23"/>
  <c r="AO66" i="23"/>
  <c r="AP56" i="23"/>
  <c r="AN56" i="23"/>
  <c r="AM56" i="23"/>
  <c r="AO56" i="23"/>
  <c r="AQ56" i="23"/>
  <c r="AM23" i="23"/>
  <c r="AO23" i="23"/>
  <c r="AP23" i="23"/>
  <c r="AN23" i="23"/>
  <c r="AO33" i="23"/>
  <c r="AM33" i="23"/>
  <c r="AN33" i="23"/>
  <c r="AP33" i="23"/>
  <c r="AQ24" i="23"/>
  <c r="AP36" i="23"/>
  <c r="AN36" i="23"/>
  <c r="AM36" i="23"/>
  <c r="AO36" i="23"/>
  <c r="AN29" i="23"/>
  <c r="AO29" i="23"/>
  <c r="AM29" i="23"/>
  <c r="AP29" i="23"/>
  <c r="AQ45" i="23"/>
  <c r="AP39" i="23"/>
  <c r="AO39" i="23"/>
  <c r="AM39" i="23"/>
  <c r="AN39" i="23"/>
  <c r="AQ39" i="23"/>
  <c r="AM38" i="23"/>
  <c r="AN38" i="23"/>
  <c r="AP38" i="23"/>
  <c r="AO38" i="23"/>
  <c r="AN28" i="23"/>
  <c r="AO28" i="23"/>
  <c r="AP28" i="23"/>
  <c r="AM28" i="23"/>
  <c r="AQ27" i="23"/>
  <c r="AQ44" i="23"/>
  <c r="AO43" i="23"/>
  <c r="AN43" i="23"/>
  <c r="AP43" i="23"/>
  <c r="AM43" i="23"/>
  <c r="AN72" i="23"/>
  <c r="AP72" i="23"/>
  <c r="AM72" i="23"/>
  <c r="AO72" i="23"/>
  <c r="AP57" i="23"/>
  <c r="AO44" i="23"/>
  <c r="AQ69" i="23"/>
  <c r="AN62" i="23"/>
  <c r="AM62" i="23"/>
  <c r="AO62" i="23"/>
  <c r="AP62" i="23"/>
  <c r="AN40" i="23"/>
  <c r="AM40" i="23"/>
  <c r="AO40" i="23"/>
  <c r="AP40" i="23"/>
  <c r="AM26" i="23"/>
  <c r="AP26" i="23"/>
  <c r="AN26" i="23"/>
  <c r="AO26" i="23"/>
  <c r="AM42" i="23"/>
  <c r="AP42" i="23"/>
  <c r="AO42" i="23"/>
  <c r="AN42" i="23"/>
  <c r="AQ67" i="23"/>
  <c r="AO67" i="23"/>
  <c r="AQ29" i="23"/>
  <c r="AP60" i="23"/>
  <c r="AO60" i="23"/>
  <c r="AN60" i="23"/>
  <c r="AM60" i="23"/>
  <c r="AQ28" i="23"/>
  <c r="AQ54" i="23"/>
  <c r="AP65" i="23"/>
  <c r="AO65" i="23"/>
  <c r="AM65" i="23"/>
  <c r="AN65" i="23"/>
  <c r="AQ25" i="23"/>
  <c r="AO25" i="23"/>
  <c r="AQ33" i="23"/>
  <c r="AO46" i="23"/>
  <c r="AM46" i="23"/>
  <c r="AN46" i="23"/>
  <c r="AP46" i="23"/>
  <c r="AO31" i="23"/>
  <c r="AP31" i="23"/>
  <c r="AN31" i="23"/>
  <c r="AM31" i="23"/>
  <c r="AQ57" i="23"/>
  <c r="AM57" i="23"/>
  <c r="AQ68" i="23"/>
  <c r="AQ48" i="23"/>
  <c r="AQ35" i="23"/>
  <c r="AP58" i="23"/>
  <c r="AO58" i="23"/>
  <c r="AN58" i="23"/>
  <c r="AM58" i="23"/>
  <c r="AQ65" i="23"/>
  <c r="AO55" i="23"/>
  <c r="AM55" i="23"/>
  <c r="AN55" i="23"/>
  <c r="AP55" i="23"/>
  <c r="AQ70" i="23"/>
  <c r="AN70" i="23"/>
  <c r="AN45" i="23"/>
  <c r="AP45" i="23"/>
  <c r="AO45" i="23"/>
  <c r="AM45" i="23"/>
  <c r="AQ34" i="23"/>
  <c r="AO63" i="23"/>
  <c r="AN63" i="23"/>
  <c r="AM63" i="23"/>
  <c r="AP63" i="23"/>
  <c r="AM50" i="23"/>
  <c r="AP50" i="23"/>
  <c r="AN50" i="23"/>
  <c r="AO50" i="23"/>
  <c r="AQ71" i="23"/>
  <c r="AQ23" i="23"/>
  <c r="AN54" i="23"/>
  <c r="AO54" i="23"/>
  <c r="AP54" i="23"/>
  <c r="AM54" i="23"/>
  <c r="AO41" i="23"/>
  <c r="AP41" i="23"/>
  <c r="AM41" i="23"/>
  <c r="AN41" i="23"/>
  <c r="AQ72" i="23"/>
  <c r="AQ66" i="23"/>
  <c r="AQ62" i="23"/>
  <c r="AQ31" i="23"/>
  <c r="AO35" i="23"/>
  <c r="AM35" i="23"/>
  <c r="AN35" i="23"/>
  <c r="AP35" i="23"/>
  <c r="AQ60" i="23"/>
  <c r="AP67" i="23"/>
  <c r="AO68" i="23"/>
  <c r="AP68" i="23"/>
  <c r="AM25" i="23"/>
  <c r="AQ59" i="23"/>
  <c r="AN68" i="23"/>
  <c r="AO70" i="23"/>
  <c r="AQ63" i="23"/>
  <c r="AP25" i="23"/>
  <c r="AP44" i="23"/>
  <c r="AQ41" i="23"/>
  <c r="AQ49" i="23"/>
  <c r="AM67" i="23"/>
  <c r="I59" i="23" l="1"/>
  <c r="I60" i="23" l="1"/>
  <c r="I61" i="23" l="1"/>
  <c r="J12" i="23"/>
  <c r="L12" i="23"/>
  <c r="O22" i="23"/>
  <c r="T22" i="23" s="1"/>
  <c r="L22" i="23"/>
  <c r="E16" i="23" s="1"/>
  <c r="I62" i="23" l="1"/>
  <c r="U12" i="23"/>
  <c r="V22" i="23"/>
  <c r="Q22" i="23"/>
  <c r="Q12" i="23"/>
  <c r="I63" i="23" l="1"/>
  <c r="O12" i="23"/>
  <c r="AK22" i="23"/>
  <c r="F16" i="23"/>
  <c r="AI22" i="23"/>
  <c r="T12" i="23"/>
  <c r="G16" i="23"/>
  <c r="AJ22" i="23"/>
  <c r="AL22" i="23"/>
  <c r="M22" i="23" s="1"/>
  <c r="E17" i="23" s="1"/>
  <c r="I64" i="23" l="1"/>
  <c r="W22" i="23"/>
  <c r="R22" i="23"/>
  <c r="AM22" i="23" s="1"/>
  <c r="E15" i="23"/>
  <c r="E12" i="23"/>
  <c r="M12" i="23"/>
  <c r="AO22" i="23" l="1"/>
  <c r="AN22" i="23"/>
  <c r="I65" i="23"/>
  <c r="AP22" i="23"/>
  <c r="H5" i="35"/>
  <c r="H7" i="35" s="1"/>
  <c r="G15" i="23"/>
  <c r="G17" i="23"/>
  <c r="V12" i="23"/>
  <c r="F15" i="23"/>
  <c r="AQ22" i="23"/>
  <c r="AQ21" i="23" s="1"/>
  <c r="R12" i="23"/>
  <c r="F17" i="23"/>
  <c r="I66" i="23" l="1"/>
  <c r="A29" i="35"/>
  <c r="J29" i="35" s="1"/>
  <c r="A31" i="35"/>
  <c r="J31" i="35" s="1"/>
  <c r="A23" i="35"/>
  <c r="J23" i="35" s="1"/>
  <c r="A27" i="35"/>
  <c r="J27" i="35" s="1"/>
  <c r="A33" i="35"/>
  <c r="J33" i="35" s="1"/>
  <c r="J35" i="35"/>
  <c r="H17" i="35"/>
  <c r="A25" i="35"/>
  <c r="J25" i="35" s="1"/>
  <c r="A21" i="35"/>
  <c r="J21" i="35" s="1"/>
  <c r="I67" i="23" l="1"/>
  <c r="H35" i="35"/>
  <c r="D45" i="35" s="1"/>
  <c r="D13" i="44" s="1"/>
  <c r="I68" i="23" l="1"/>
  <c r="L53" i="1"/>
  <c r="L54" i="1"/>
  <c r="D61" i="1"/>
  <c r="H61" i="1" s="1"/>
  <c r="L61" i="1" s="1"/>
  <c r="L52" i="1"/>
  <c r="C19" i="45"/>
  <c r="D19" i="45" s="1"/>
  <c r="A61" i="1"/>
  <c r="C61" i="1" s="1"/>
  <c r="C11" i="44"/>
  <c r="E19" i="45"/>
  <c r="F19" i="45" s="1"/>
  <c r="B61" i="1"/>
  <c r="F61" i="1" s="1"/>
  <c r="J61" i="1" s="1"/>
  <c r="G19" i="45"/>
  <c r="H19" i="45" s="1"/>
  <c r="I69" i="23" l="1"/>
  <c r="C22" i="45"/>
  <c r="D20" i="45"/>
  <c r="D22" i="45" s="1"/>
  <c r="E22" i="45"/>
  <c r="F20" i="45"/>
  <c r="F22" i="45" s="1"/>
  <c r="G22" i="45"/>
  <c r="H20" i="45"/>
  <c r="H22" i="45" s="1"/>
  <c r="E61" i="1"/>
  <c r="M61" i="1"/>
  <c r="I70" i="23" l="1"/>
  <c r="G61" i="1"/>
  <c r="I61" i="1"/>
  <c r="K61" i="1" s="1"/>
  <c r="I71" i="23" l="1"/>
  <c r="I72" i="23" l="1"/>
  <c r="E10" i="44" l="1"/>
  <c r="C12" i="44" s="1"/>
  <c r="E12" i="44" l="1"/>
  <c r="D14" i="44"/>
  <c r="D15" i="44"/>
  <c r="D16" i="44" l="1"/>
  <c r="D17" i="44" l="1"/>
</calcChain>
</file>

<file path=xl/comments1.xml><?xml version="1.0" encoding="utf-8"?>
<comments xmlns="http://schemas.openxmlformats.org/spreadsheetml/2006/main">
  <authors>
    <author>Dr. H. Saalfeld</author>
  </authors>
  <commentList>
    <comment ref="J2" authorId="0" shapeId="0">
      <text>
        <r>
          <rPr>
            <b/>
            <sz val="8"/>
            <color indexed="81"/>
            <rFont val="Tahoma"/>
            <family val="2"/>
          </rPr>
          <t>TNC:
Einmaliger Wechsel auf EN möglich - kein Rückweg
One change to EN is possible - no way back.</t>
        </r>
      </text>
    </comment>
    <comment ref="B52" authorId="0" shapeId="0">
      <text>
        <r>
          <rPr>
            <b/>
            <sz val="8"/>
            <color indexed="81"/>
            <rFont val="Tahoma"/>
            <family val="2"/>
          </rPr>
          <t>TNC:</t>
        </r>
        <r>
          <rPr>
            <sz val="8"/>
            <color indexed="81"/>
            <rFont val="Tahoma"/>
            <family val="2"/>
          </rPr>
          <t xml:space="preserve">
a) </t>
        </r>
        <r>
          <rPr>
            <b/>
            <sz val="8"/>
            <color indexed="16"/>
            <rFont val="Tahoma"/>
            <family val="2"/>
          </rPr>
          <t>Single Site</t>
        </r>
        <r>
          <rPr>
            <sz val="8"/>
            <color indexed="81"/>
            <rFont val="Tahoma"/>
            <family val="2"/>
          </rPr>
          <t xml:space="preserve"> – An organization having one location. The organization may be operating under one large
building or several buildings at that location. The organization may have one or multiple products or
product families flowing though one or multiple processes.
b) </t>
        </r>
        <r>
          <rPr>
            <b/>
            <sz val="8"/>
            <color indexed="16"/>
            <rFont val="Tahoma"/>
            <family val="2"/>
          </rPr>
          <t>Multiple Site</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sites at which such activities are fully or partially carried out. With the exception of the central
office the processes within each of the sites are substantially the same and are operated to the same
methods and procedures (see IAF MD 1, “Multi-site Organization” definition and eligibility requirements).
c) </t>
        </r>
        <r>
          <rPr>
            <b/>
            <sz val="8"/>
            <color indexed="16"/>
            <rFont val="Tahoma"/>
            <family val="2"/>
          </rPr>
          <t>Campus</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that
has a decentralized, sequential, linked product realization process. For the purposes of this standard, it is
referred to as a value stream where the outputs from one site are an input to another site, which ultimately
results in the final product or service.
d) </t>
        </r>
        <r>
          <rPr>
            <b/>
            <sz val="8"/>
            <color indexed="16"/>
            <rFont val="Tahoma"/>
            <family val="2"/>
          </rPr>
          <t>Several Sites</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sites, that do not meet the criteria for either a multiple site or a campus organization.
e) </t>
        </r>
        <r>
          <rPr>
            <b/>
            <sz val="8"/>
            <color indexed="16"/>
            <rFont val="Tahoma"/>
            <family val="2"/>
          </rPr>
          <t>Complex</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locations that are any combination of multiple site, campus, several sites, or more than one
campus.</t>
        </r>
      </text>
    </comment>
    <comment ref="K82" authorId="0" shapeId="0">
      <text>
        <r>
          <rPr>
            <b/>
            <sz val="8"/>
            <color indexed="81"/>
            <rFont val="Tahoma"/>
            <family val="2"/>
          </rPr>
          <t xml:space="preserve">TNCERT:
</t>
        </r>
        <r>
          <rPr>
            <sz val="8"/>
            <color indexed="81"/>
            <rFont val="Tahoma"/>
            <family val="2"/>
          </rPr>
          <t xml:space="preserve">Following section to be completed only if "YES"
</t>
        </r>
      </text>
    </comment>
  </commentList>
</comments>
</file>

<file path=xl/comments2.xml><?xml version="1.0" encoding="utf-8"?>
<comments xmlns="http://schemas.openxmlformats.org/spreadsheetml/2006/main">
  <authors>
    <author>Dr. H. Saalfeld</author>
  </authors>
  <commentList>
    <comment ref="I19" authorId="0" shapeId="0">
      <text>
        <r>
          <rPr>
            <b/>
            <sz val="8"/>
            <color indexed="81"/>
            <rFont val="Tahoma"/>
            <family val="2"/>
          </rPr>
          <t xml:space="preserve">TNCERT:
</t>
        </r>
        <r>
          <rPr>
            <sz val="8"/>
            <color indexed="81"/>
            <rFont val="Tahoma"/>
            <family val="2"/>
          </rPr>
          <t xml:space="preserve">In the case of "recertification/transfer" please indicate, if site is already certified or shall be incorporated newly into certification
</t>
        </r>
      </text>
    </comment>
  </commentList>
</comments>
</file>

<file path=xl/comments3.xml><?xml version="1.0" encoding="utf-8"?>
<comments xmlns="http://schemas.openxmlformats.org/spreadsheetml/2006/main">
  <authors>
    <author>Dr. H. Saalfeld</author>
  </authors>
  <commentList>
    <comment ref="D45" authorId="0" shapeId="0">
      <text>
        <r>
          <rPr>
            <b/>
            <sz val="8"/>
            <color indexed="81"/>
            <rFont val="Tahoma"/>
            <family val="2"/>
          </rPr>
          <t>TNC:</t>
        </r>
        <r>
          <rPr>
            <sz val="8"/>
            <color indexed="81"/>
            <rFont val="Tahoma"/>
            <family val="2"/>
          </rPr>
          <t xml:space="preserve">
a) </t>
        </r>
        <r>
          <rPr>
            <b/>
            <sz val="8"/>
            <color indexed="16"/>
            <rFont val="Tahoma"/>
            <family val="2"/>
          </rPr>
          <t>Single Site</t>
        </r>
        <r>
          <rPr>
            <sz val="8"/>
            <color indexed="81"/>
            <rFont val="Tahoma"/>
            <family val="2"/>
          </rPr>
          <t xml:space="preserve"> – An organization having one location. The organization may be operating under one large
building or several buildings at that location. The organization may have one or multiple products or
product families flowing though one or multiple processes.
b) </t>
        </r>
        <r>
          <rPr>
            <b/>
            <sz val="8"/>
            <color indexed="16"/>
            <rFont val="Tahoma"/>
            <family val="2"/>
          </rPr>
          <t>Multiple Site</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sites at which such activities are fully or partially carried out. With the exception of the central
office the processes within each of the sites are substantially the same and are operated to the same
methods and procedures (see IAF MD 1, “Multi-site Organization” definition and eligibility requirements).
c) </t>
        </r>
        <r>
          <rPr>
            <b/>
            <sz val="8"/>
            <color indexed="16"/>
            <rFont val="Tahoma"/>
            <family val="2"/>
          </rPr>
          <t>Campus</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that
has a decentralized, sequential, linked product realization process. For the purposes of this standard, it is
referred to as a value stream where the outputs from one site are an input to another site, which ultimately
results in the final product or service.
d) </t>
        </r>
        <r>
          <rPr>
            <b/>
            <sz val="8"/>
            <color indexed="16"/>
            <rFont val="Tahoma"/>
            <family val="2"/>
          </rPr>
          <t>Several Sites</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sites, that do not meet the criteria for either a multiple site or a campus organization.
e) </t>
        </r>
        <r>
          <rPr>
            <b/>
            <sz val="8"/>
            <color indexed="16"/>
            <rFont val="Tahoma"/>
            <family val="2"/>
          </rPr>
          <t>Complex</t>
        </r>
        <r>
          <rPr>
            <sz val="8"/>
            <color indexed="81"/>
            <rFont val="Tahoma"/>
            <family val="2"/>
          </rPr>
          <t xml:space="preserve"> – An organization having an identified central function (the central office, but not necessarily the
headquarters of the organization) at which certain activities are planned, controlled, or managed and a
network of locations that are any combination of multiple site, campus, several sites, or more than one
campus.</t>
        </r>
      </text>
    </comment>
    <comment ref="D47" authorId="0" shapeId="0">
      <text>
        <r>
          <rPr>
            <b/>
            <sz val="8"/>
            <color indexed="81"/>
            <rFont val="Tahoma"/>
            <family val="2"/>
          </rPr>
          <t>TNC:
Just TNC-Lead Auditors for EN91xx</t>
        </r>
        <r>
          <rPr>
            <sz val="8"/>
            <color indexed="81"/>
            <rFont val="Tahoma"/>
            <family val="2"/>
          </rPr>
          <t xml:space="preserve">
</t>
        </r>
      </text>
    </comment>
  </commentList>
</comments>
</file>

<file path=xl/comments4.xml><?xml version="1.0" encoding="utf-8"?>
<comments xmlns="http://schemas.openxmlformats.org/spreadsheetml/2006/main">
  <authors>
    <author>Dr. H. Saalfeld</author>
  </authors>
  <commentList>
    <comment ref="C6" authorId="0" shapeId="0">
      <text>
        <r>
          <rPr>
            <b/>
            <sz val="8"/>
            <color indexed="81"/>
            <rFont val="Tahoma"/>
            <family val="2"/>
          </rPr>
          <t xml:space="preserve">TNC:
No: </t>
        </r>
        <r>
          <rPr>
            <sz val="8"/>
            <color indexed="81"/>
            <rFont val="Tahoma"/>
            <family val="2"/>
          </rPr>
          <t xml:space="preserve">if AQMS is not yet certified
</t>
        </r>
      </text>
    </comment>
  </commentList>
</comments>
</file>

<file path=xl/comments5.xml><?xml version="1.0" encoding="utf-8"?>
<comments xmlns="http://schemas.openxmlformats.org/spreadsheetml/2006/main">
  <authors>
    <author>Dr. H. Saalfeld</author>
  </authors>
  <commentList>
    <comment ref="AF7" authorId="0" shapeId="0">
      <text>
        <r>
          <rPr>
            <b/>
            <sz val="8"/>
            <color indexed="81"/>
            <rFont val="Tahoma"/>
            <family val="2"/>
          </rPr>
          <t xml:space="preserve">TN CERT:
</t>
        </r>
        <r>
          <rPr>
            <sz val="8"/>
            <color indexed="81"/>
            <rFont val="Tahoma"/>
            <family val="2"/>
          </rPr>
          <t>Old version isn't availabe</t>
        </r>
      </text>
    </comment>
  </commentList>
</comments>
</file>

<file path=xl/sharedStrings.xml><?xml version="1.0" encoding="utf-8"?>
<sst xmlns="http://schemas.openxmlformats.org/spreadsheetml/2006/main" count="1977" uniqueCount="1367">
  <si>
    <t>E-Mail:</t>
  </si>
  <si>
    <t>Standard</t>
  </si>
  <si>
    <t>Durch Doppelklick öffnet sich ein Wordfenster</t>
  </si>
  <si>
    <t>Art</t>
  </si>
  <si>
    <t>Formblatt</t>
  </si>
  <si>
    <t>FormblattRev</t>
  </si>
  <si>
    <t>JaNein</t>
  </si>
  <si>
    <t>Name:</t>
  </si>
  <si>
    <t>EN 9120</t>
  </si>
  <si>
    <t>MultiSite</t>
  </si>
  <si>
    <t>Single Site</t>
  </si>
  <si>
    <t>Multiple Site</t>
  </si>
  <si>
    <t>Campus</t>
  </si>
  <si>
    <t>Complex</t>
  </si>
  <si>
    <t>Acc</t>
  </si>
  <si>
    <t>Erl</t>
  </si>
  <si>
    <t>Single Site – An organization having one location. The organization may be operating under one large
building or several buildings at that location. The organization may have one or multiple products or
product families flowing though one or multiple processes.</t>
  </si>
  <si>
    <t>Multiple Site – An organization having an identified central function (the central office, but not necessarily
the headquarters of the organization) at which certain activities are planned, controlled, or managed and a
network of sites at which such activities are fully or partially carried out. With the exception of the central
office the processes within each of the sites are substantially the same and are operated to the same
methods and procedures (see IAF MD 1, “Multi-site Organization” definition and eligibility requirements).</t>
  </si>
  <si>
    <t>Campus – An organization having an identified central function (the central office, but not necessarily the
headquarters of the organization) at which certain activities are planned, controlled, or managed; and that
has a decentralized, sequential, linked product realization process. For the purposes of this standard, it is
referred to as a value stream where the outputs from one site are an input to another site, which ultimately
results in the final product or service.</t>
  </si>
  <si>
    <t>Several Sites – An organization having an identified central function (the central office, but not necessarily
the headquarters of the organization) at which certain activities are planned, controlled, or managed and a
network of sites, that do not meet the criteria for either a multiple site or a campus organization.</t>
  </si>
  <si>
    <t>Complex – An organization having an identified central function (the central office, but not necessarily the
headquarters of the organization) at which certain activities are planned, controlled, or managed and a
network of locations that are any combination of multiple site, campus, several sites, or more than one
campus.</t>
  </si>
  <si>
    <t>EN 9100</t>
  </si>
  <si>
    <t>EN 9110</t>
  </si>
  <si>
    <t>Ausschluss</t>
  </si>
  <si>
    <t>Several Site</t>
  </si>
  <si>
    <t>Integration</t>
  </si>
  <si>
    <t>Standorte</t>
  </si>
  <si>
    <t>x</t>
  </si>
  <si>
    <t>-</t>
  </si>
  <si>
    <t>Kreuz</t>
  </si>
  <si>
    <t>MA</t>
  </si>
  <si>
    <t>IA</t>
  </si>
  <si>
    <t>SA</t>
  </si>
  <si>
    <t xml:space="preserve">  Name</t>
  </si>
  <si>
    <t>EA-Scopes
(AQMS):</t>
  </si>
  <si>
    <t>D</t>
  </si>
  <si>
    <t>E</t>
  </si>
  <si>
    <t>OIN (Site)</t>
  </si>
  <si>
    <t>CatCode</t>
  </si>
  <si>
    <t>A</t>
  </si>
  <si>
    <t>B</t>
  </si>
  <si>
    <t>C</t>
  </si>
  <si>
    <t>Several Sites</t>
  </si>
  <si>
    <t>ISO 9001</t>
  </si>
  <si>
    <t>Anzahl Mitarbeiter</t>
  </si>
  <si>
    <t>DE</t>
  </si>
  <si>
    <t>EAC</t>
  </si>
  <si>
    <t>Aktion</t>
  </si>
  <si>
    <t>Audit-Team</t>
  </si>
  <si>
    <t>Geschäftsfeld 1: Landwirtschaft, Gastgewerbe</t>
  </si>
  <si>
    <t>Geschäftsfeld 2: Verarbeitendes Gewerbe</t>
  </si>
  <si>
    <t>Geschäftsfeld 3: Bausektor</t>
  </si>
  <si>
    <t>Geschäftsfeld 4: Versorgung / Entsorgung, Rückgewinnung, Recycling</t>
  </si>
  <si>
    <t>Geschäftsfeld 5: Dienstleistungen</t>
  </si>
  <si>
    <t>Geschäftsfeld 6: Erziehung und Unterricht</t>
  </si>
  <si>
    <t>Geschäftsfeld 7: Ernährungsgewerbe und Tabakverarbeitung (sensibler Bereich)</t>
  </si>
  <si>
    <t>Geschäftsfeld 8: Herstellung und Verarbeitung von Spalt- und Brutstoffen (sensibler Bereich)</t>
  </si>
  <si>
    <t>Geschäftsfeld 9: Herstellung von pharmazeutischen Erzeugnissen (sensibler Bereich)</t>
  </si>
  <si>
    <t>Geschäftsfeld 10: Luft- und Raumfahrzeugbau (sensibler Bereich)</t>
  </si>
  <si>
    <t>Geschäftsfeld 11: Gesundheits- Veterinärwesen, Sozialwesen (sensibler Bereich)</t>
  </si>
  <si>
    <t>Geschäftsfeld 12: Medizinprodukte (sensibler Bereich)</t>
  </si>
  <si>
    <t>Bezeichnung</t>
  </si>
  <si>
    <t>01.0</t>
  </si>
  <si>
    <t>Land- und Forstwirtschaft, Fischerei und Fischzucht</t>
  </si>
  <si>
    <t>02.0</t>
  </si>
  <si>
    <t>Bergbau und Gewinnung von Steinen und Erden</t>
  </si>
  <si>
    <t>03.0</t>
  </si>
  <si>
    <t>Ernährungsgewerbe und Tabakverarbeitung</t>
  </si>
  <si>
    <t>04.0</t>
  </si>
  <si>
    <t>Textil- und Bekleidungsgewerbe</t>
  </si>
  <si>
    <t>05.0</t>
  </si>
  <si>
    <t>Ledergewerbe</t>
  </si>
  <si>
    <t>06.0</t>
  </si>
  <si>
    <t>Holzgewerbe</t>
  </si>
  <si>
    <t>07.0</t>
  </si>
  <si>
    <t>Papiergewerbe</t>
  </si>
  <si>
    <t>08.0</t>
  </si>
  <si>
    <t>Verlagsgewerbe</t>
  </si>
  <si>
    <t>09.0</t>
  </si>
  <si>
    <t>Druckgewerbe, Vervielfältigung von bespielten Trägern</t>
  </si>
  <si>
    <t>10.0</t>
  </si>
  <si>
    <t>Kokerei und Mineralölverarbeitung</t>
  </si>
  <si>
    <t>11.0</t>
  </si>
  <si>
    <t>Herstellung und Verarbeitung von Spalt- und Brutstoffen</t>
  </si>
  <si>
    <t>12.0</t>
  </si>
  <si>
    <t>Chemische Industrie</t>
  </si>
  <si>
    <t>13.0</t>
  </si>
  <si>
    <t>Herstellung von pharmazeutischen Erzeugnissen</t>
  </si>
  <si>
    <t>14.0</t>
  </si>
  <si>
    <t>Herstellung von Gummi- und Kunststoffwaren</t>
  </si>
  <si>
    <t>15.0</t>
  </si>
  <si>
    <t>Glasgewerbe, Keramik, Verarbeitung von Steinen und Erden</t>
  </si>
  <si>
    <t>16.0</t>
  </si>
  <si>
    <t>Herstellung von Zement, Kalk, Gips und Erzeugnissen aus Beton</t>
  </si>
  <si>
    <t>17.1</t>
  </si>
  <si>
    <t>Metallerzeugung</t>
  </si>
  <si>
    <t>17.2</t>
  </si>
  <si>
    <t>Metallbearbeitung, Herstellung von Metallerzeugnissen</t>
  </si>
  <si>
    <t>18.0</t>
  </si>
  <si>
    <t>Maschinenbau</t>
  </si>
  <si>
    <t>Herstellung von Büromaschinen, Datenverarbeitungsgeräten und -einrichtungen; Elektrotechnik, Feinmechanik, Optik</t>
  </si>
  <si>
    <t>20.0</t>
  </si>
  <si>
    <t>Schiffbau</t>
  </si>
  <si>
    <t>21.0</t>
  </si>
  <si>
    <t>Luft- und Raumfahrzeugbau</t>
  </si>
  <si>
    <t>22.0</t>
  </si>
  <si>
    <t>Anderer Fahrzeugbau (Kraftwagen, Schienenfahrzeuge, Krafträder, Fahrräder)</t>
  </si>
  <si>
    <t>23.0</t>
  </si>
  <si>
    <t>Herstellung von Möbel, Schmuck, Musikinstrumenten, Sportgeräten, Spielwaren und sonstigen Erzeugnissen</t>
  </si>
  <si>
    <t>24.0</t>
  </si>
  <si>
    <t>Rückgewinnung, Recycling</t>
  </si>
  <si>
    <t>25.0</t>
  </si>
  <si>
    <t>Elektrizitätsversorgung</t>
  </si>
  <si>
    <t>26.0</t>
  </si>
  <si>
    <t>Gasversorgung</t>
  </si>
  <si>
    <t>27.0</t>
  </si>
  <si>
    <t>Wasserversorgung, Fernwärmeversorgung</t>
  </si>
  <si>
    <t>28.0</t>
  </si>
  <si>
    <t>Baugewerbe</t>
  </si>
  <si>
    <t>29.1</t>
  </si>
  <si>
    <t>Handel</t>
  </si>
  <si>
    <t>29.2</t>
  </si>
  <si>
    <t>Instandhaltung und Reparatur von Kraftfahrzeugen und Gebrauchsgütern</t>
  </si>
  <si>
    <t>30.0</t>
  </si>
  <si>
    <t>Gastgewerbe</t>
  </si>
  <si>
    <t>31.1</t>
  </si>
  <si>
    <t>Verkehr</t>
  </si>
  <si>
    <t>31.2</t>
  </si>
  <si>
    <t>Nachrichtenübermittlung</t>
  </si>
  <si>
    <t>32.0</t>
  </si>
  <si>
    <t>Kredit- und Versicherungsgewerbe, Grundstücks- und Wohnungswesen, Vermietung beweglicher Sachen (ohne Bedienungspersonal)</t>
  </si>
  <si>
    <t>33.0</t>
  </si>
  <si>
    <t>Datenverarbeitung, Informationstechnik</t>
  </si>
  <si>
    <t>34.1</t>
  </si>
  <si>
    <t>Forschung und Entwicklung</t>
  </si>
  <si>
    <t>34.2</t>
  </si>
  <si>
    <t>Architektur- und Ingenieurbüro</t>
  </si>
  <si>
    <t>35.0</t>
  </si>
  <si>
    <t>Erbringung von Dienstleistungen für Unternehmen</t>
  </si>
  <si>
    <t>36.0</t>
  </si>
  <si>
    <t>Öffentliche Verwaltung, Verteidigung, Sozialversicherung</t>
  </si>
  <si>
    <t>37.0</t>
  </si>
  <si>
    <t>Erziehung und Unterricht</t>
  </si>
  <si>
    <t>38.1</t>
  </si>
  <si>
    <t>Gesundheitswesen</t>
  </si>
  <si>
    <t>38.2</t>
  </si>
  <si>
    <t>Veterinärwesen</t>
  </si>
  <si>
    <t>38.3</t>
  </si>
  <si>
    <t>Pflege</t>
  </si>
  <si>
    <t>39.0</t>
  </si>
  <si>
    <t>Erbringung von sonstigen öffentlichen und persönlichen Dienstleistungen</t>
  </si>
  <si>
    <t>QM-GF</t>
  </si>
  <si>
    <t>Aktive Medizinprodukte, aktive implantierbare Medizinprodukte, implantierbare Medizinprodukte und Sterilisation von Medizinprodukten</t>
  </si>
  <si>
    <t>Design</t>
  </si>
  <si>
    <t>#MA</t>
  </si>
  <si>
    <t>Erläuterung zu farblich hinterlegen Feldern</t>
  </si>
  <si>
    <t>4.0 &amp; 5.0</t>
  </si>
  <si>
    <t>Bilden einen gemeinsamen Scope</t>
  </si>
  <si>
    <t>17.2 &amp; 18.0</t>
  </si>
  <si>
    <t>31.2 &amp; 33.0</t>
  </si>
  <si>
    <t>Sprache</t>
  </si>
  <si>
    <t>EN</t>
  </si>
  <si>
    <t xml:space="preserve">Sprache:/ 
Language: </t>
  </si>
  <si>
    <t>EAC 1</t>
  </si>
  <si>
    <t>EAC 2</t>
  </si>
  <si>
    <t>EAC 3</t>
  </si>
  <si>
    <t>Ausfüllanleitung</t>
  </si>
  <si>
    <t>Deutschland</t>
  </si>
  <si>
    <t>---</t>
  </si>
  <si>
    <t>Transfer</t>
  </si>
  <si>
    <t>Ü-Audits</t>
  </si>
  <si>
    <t>Aero</t>
  </si>
  <si>
    <t>Spalten für Manntagetabellen</t>
  </si>
  <si>
    <t>Stufe1-Formel</t>
  </si>
  <si>
    <t>MA-1</t>
  </si>
  <si>
    <t>Auditor 1:</t>
  </si>
  <si>
    <t>Auditor 2:</t>
  </si>
  <si>
    <t>Auditor 3:</t>
  </si>
  <si>
    <t>code</t>
  </si>
  <si>
    <t>Name (engl)</t>
  </si>
  <si>
    <t>Name (deutsch)</t>
  </si>
  <si>
    <t>AD</t>
  </si>
  <si>
    <t>Andorra</t>
  </si>
  <si>
    <t>AE</t>
  </si>
  <si>
    <t>United Arab Emirates</t>
  </si>
  <si>
    <t>Vereinigte Arabische Emirate</t>
  </si>
  <si>
    <t>AF</t>
  </si>
  <si>
    <t>Afghanistan</t>
  </si>
  <si>
    <t>AG</t>
  </si>
  <si>
    <t>Antigua and Barbuda</t>
  </si>
  <si>
    <t>Antigua und Barbuda</t>
  </si>
  <si>
    <t>AI</t>
  </si>
  <si>
    <t>Anguilla</t>
  </si>
  <si>
    <t>AL</t>
  </si>
  <si>
    <t>Albania</t>
  </si>
  <si>
    <t>Albanien</t>
  </si>
  <si>
    <t>AM</t>
  </si>
  <si>
    <t>Armenia</t>
  </si>
  <si>
    <t>Armenien</t>
  </si>
  <si>
    <t>AO</t>
  </si>
  <si>
    <t>Angola</t>
  </si>
  <si>
    <t>AQ</t>
  </si>
  <si>
    <t>Antarctica</t>
  </si>
  <si>
    <t>Antarktis</t>
  </si>
  <si>
    <t>AR</t>
  </si>
  <si>
    <t>Argentina</t>
  </si>
  <si>
    <t>Argentinien</t>
  </si>
  <si>
    <t>AS</t>
  </si>
  <si>
    <t>American Samoa</t>
  </si>
  <si>
    <t>Samoa</t>
  </si>
  <si>
    <t>AT</t>
  </si>
  <si>
    <t>Austria</t>
  </si>
  <si>
    <t>Österreich</t>
  </si>
  <si>
    <t>AU</t>
  </si>
  <si>
    <t>Australia</t>
  </si>
  <si>
    <t>Australien</t>
  </si>
  <si>
    <t>AW</t>
  </si>
  <si>
    <t>Aruba</t>
  </si>
  <si>
    <t>AX</t>
  </si>
  <si>
    <t>Åland Islands</t>
  </si>
  <si>
    <t>Åland</t>
  </si>
  <si>
    <t>AZ</t>
  </si>
  <si>
    <t>Azerbaijan</t>
  </si>
  <si>
    <t>Aserbaidschan</t>
  </si>
  <si>
    <t>BA</t>
  </si>
  <si>
    <t>Bosnia and Herzegovina</t>
  </si>
  <si>
    <t>Bosnien-Herzegowina</t>
  </si>
  <si>
    <t>BB</t>
  </si>
  <si>
    <t>Barbados</t>
  </si>
  <si>
    <t>BD</t>
  </si>
  <si>
    <t>Bangladesh</t>
  </si>
  <si>
    <t>BE</t>
  </si>
  <si>
    <t>Belgium</t>
  </si>
  <si>
    <t>Belgien</t>
  </si>
  <si>
    <t>BF</t>
  </si>
  <si>
    <t>Burkina Faso</t>
  </si>
  <si>
    <t>BG</t>
  </si>
  <si>
    <t>Bulgaria</t>
  </si>
  <si>
    <t>Bulgarien</t>
  </si>
  <si>
    <t>BH</t>
  </si>
  <si>
    <t>Bahrain</t>
  </si>
  <si>
    <t>BI</t>
  </si>
  <si>
    <t>Burundi</t>
  </si>
  <si>
    <t>BJ</t>
  </si>
  <si>
    <t>Benin</t>
  </si>
  <si>
    <t>BM</t>
  </si>
  <si>
    <t>Bermuda</t>
  </si>
  <si>
    <t>Bermudas</t>
  </si>
  <si>
    <t>BN</t>
  </si>
  <si>
    <t>Brunei</t>
  </si>
  <si>
    <t>BO</t>
  </si>
  <si>
    <t>Bolivia</t>
  </si>
  <si>
    <t>Bolivien</t>
  </si>
  <si>
    <t>BQ</t>
  </si>
  <si>
    <t>Bonaire; Sint Eustatius and Saba</t>
  </si>
  <si>
    <t>Bonaire, Sint Eustatius und Saba</t>
  </si>
  <si>
    <t>BR</t>
  </si>
  <si>
    <t>Brazil</t>
  </si>
  <si>
    <t>Brasilien</t>
  </si>
  <si>
    <t>BS</t>
  </si>
  <si>
    <t>Bahamas</t>
  </si>
  <si>
    <t>BT</t>
  </si>
  <si>
    <t>Bhutan</t>
  </si>
  <si>
    <t>BV</t>
  </si>
  <si>
    <t>Bouvet Island</t>
  </si>
  <si>
    <t>Bouvet Inseln</t>
  </si>
  <si>
    <t>BW</t>
  </si>
  <si>
    <t>Botswana</t>
  </si>
  <si>
    <t>BY</t>
  </si>
  <si>
    <t>Belarus</t>
  </si>
  <si>
    <t>Weißrußland</t>
  </si>
  <si>
    <t>BZ</t>
  </si>
  <si>
    <t>Belize</t>
  </si>
  <si>
    <t>CA</t>
  </si>
  <si>
    <t>Canada</t>
  </si>
  <si>
    <t>Kanada</t>
  </si>
  <si>
    <t>CC</t>
  </si>
  <si>
    <t>Cocos Islands</t>
  </si>
  <si>
    <t>Kokosinseln</t>
  </si>
  <si>
    <t>CD</t>
  </si>
  <si>
    <t>DR Congo</t>
  </si>
  <si>
    <t>Kongo, Demokratische Republik</t>
  </si>
  <si>
    <t>CF</t>
  </si>
  <si>
    <t>Central African Republic</t>
  </si>
  <si>
    <t>Zentralafrikanische Republik</t>
  </si>
  <si>
    <t>CG</t>
  </si>
  <si>
    <t>Congo</t>
  </si>
  <si>
    <t>Kongo</t>
  </si>
  <si>
    <t>CH</t>
  </si>
  <si>
    <t>Switzerland</t>
  </si>
  <si>
    <t>Schweiz</t>
  </si>
  <si>
    <t>CI</t>
  </si>
  <si>
    <t>Cote d'Ivoire</t>
  </si>
  <si>
    <t>Elfenbeinküste</t>
  </si>
  <si>
    <t>CK</t>
  </si>
  <si>
    <t>Cook Islands</t>
  </si>
  <si>
    <t>Cook Inseln</t>
  </si>
  <si>
    <t>CL</t>
  </si>
  <si>
    <t>Chile</t>
  </si>
  <si>
    <t>CM</t>
  </si>
  <si>
    <t>Cameroon</t>
  </si>
  <si>
    <t>Kamerun</t>
  </si>
  <si>
    <t>CN</t>
  </si>
  <si>
    <t>China</t>
  </si>
  <si>
    <t>CO</t>
  </si>
  <si>
    <t>Colombia</t>
  </si>
  <si>
    <t>Kolumbien</t>
  </si>
  <si>
    <t>CR</t>
  </si>
  <si>
    <t>Costa Rica</t>
  </si>
  <si>
    <t>CU</t>
  </si>
  <si>
    <t>Cuba</t>
  </si>
  <si>
    <t>Kuba</t>
  </si>
  <si>
    <t>CV</t>
  </si>
  <si>
    <t>Cape Verde</t>
  </si>
  <si>
    <t>Kap Verde</t>
  </si>
  <si>
    <t>CW</t>
  </si>
  <si>
    <t>Curacao</t>
  </si>
  <si>
    <t>CX</t>
  </si>
  <si>
    <t>Christmas Island</t>
  </si>
  <si>
    <t>CY</t>
  </si>
  <si>
    <t>Cyprus</t>
  </si>
  <si>
    <t>Zypern</t>
  </si>
  <si>
    <t>CZ</t>
  </si>
  <si>
    <t>Czech Republic</t>
  </si>
  <si>
    <t>Tschechische Republik</t>
  </si>
  <si>
    <t>Germany</t>
  </si>
  <si>
    <t>DJ</t>
  </si>
  <si>
    <t>Djibouti</t>
  </si>
  <si>
    <t>Djibuti</t>
  </si>
  <si>
    <t>DK</t>
  </si>
  <si>
    <t>Denmark</t>
  </si>
  <si>
    <t>Dänemark</t>
  </si>
  <si>
    <t>DM</t>
  </si>
  <si>
    <t>Dominica</t>
  </si>
  <si>
    <t>Dominika</t>
  </si>
  <si>
    <t>DO</t>
  </si>
  <si>
    <t>Dominican Republic</t>
  </si>
  <si>
    <t>Dominikanische Republik</t>
  </si>
  <si>
    <t>DZ</t>
  </si>
  <si>
    <t>Algeria</t>
  </si>
  <si>
    <t>Algerien</t>
  </si>
  <si>
    <t>EC</t>
  </si>
  <si>
    <t>Ecuador</t>
  </si>
  <si>
    <t>EE</t>
  </si>
  <si>
    <t>Estonia</t>
  </si>
  <si>
    <t>Estland</t>
  </si>
  <si>
    <t>EG</t>
  </si>
  <si>
    <t>Egypt</t>
  </si>
  <si>
    <t>Ägypten</t>
  </si>
  <si>
    <t>EH</t>
  </si>
  <si>
    <t>Western Sahara</t>
  </si>
  <si>
    <t>Westsahara</t>
  </si>
  <si>
    <t>ER</t>
  </si>
  <si>
    <t>Eritrea</t>
  </si>
  <si>
    <t>ES</t>
  </si>
  <si>
    <t>Spain</t>
  </si>
  <si>
    <t>Spanien</t>
  </si>
  <si>
    <t>ET</t>
  </si>
  <si>
    <t>Ethiopia</t>
  </si>
  <si>
    <t>Äthiopien</t>
  </si>
  <si>
    <t>FI</t>
  </si>
  <si>
    <t>Finland</t>
  </si>
  <si>
    <t>Finnland</t>
  </si>
  <si>
    <t>FJ</t>
  </si>
  <si>
    <t>Fiji</t>
  </si>
  <si>
    <t>Fidschi</t>
  </si>
  <si>
    <t>FK</t>
  </si>
  <si>
    <t>Falkland Islands</t>
  </si>
  <si>
    <t>Falkland Inseln</t>
  </si>
  <si>
    <t>FM</t>
  </si>
  <si>
    <t>Micronesia</t>
  </si>
  <si>
    <t>Mikronesien</t>
  </si>
  <si>
    <t>FO</t>
  </si>
  <si>
    <t>Faroe Islands</t>
  </si>
  <si>
    <t>Färöer Inseln</t>
  </si>
  <si>
    <t>FR</t>
  </si>
  <si>
    <t>France</t>
  </si>
  <si>
    <t>Frankreich</t>
  </si>
  <si>
    <t>GA</t>
  </si>
  <si>
    <t>Gabon</t>
  </si>
  <si>
    <t>Gabun</t>
  </si>
  <si>
    <t>GB</t>
  </si>
  <si>
    <t>United Kingdom</t>
  </si>
  <si>
    <t>Großbritannien (UK)</t>
  </si>
  <si>
    <t>GD</t>
  </si>
  <si>
    <t>Grenada</t>
  </si>
  <si>
    <t>GE</t>
  </si>
  <si>
    <t>Georgia</t>
  </si>
  <si>
    <t>Georgien</t>
  </si>
  <si>
    <t>GF</t>
  </si>
  <si>
    <t>French Guiana</t>
  </si>
  <si>
    <t>französisch Guyana</t>
  </si>
  <si>
    <t>GG</t>
  </si>
  <si>
    <t>Guernsey</t>
  </si>
  <si>
    <t>GH</t>
  </si>
  <si>
    <t>Ghana</t>
  </si>
  <si>
    <t>GI</t>
  </si>
  <si>
    <t>Gibraltar</t>
  </si>
  <si>
    <t>GL</t>
  </si>
  <si>
    <t>Greenland</t>
  </si>
  <si>
    <t>Grönland</t>
  </si>
  <si>
    <t>GM</t>
  </si>
  <si>
    <t>Gambia</t>
  </si>
  <si>
    <t>GN</t>
  </si>
  <si>
    <t>Guinea</t>
  </si>
  <si>
    <t>GP</t>
  </si>
  <si>
    <t>Guadeloupe</t>
  </si>
  <si>
    <t>GQ</t>
  </si>
  <si>
    <t>Equatorial Guinea</t>
  </si>
  <si>
    <t>Äquatorial Guinea</t>
  </si>
  <si>
    <t>GR</t>
  </si>
  <si>
    <t>Greece</t>
  </si>
  <si>
    <t>Griechenland</t>
  </si>
  <si>
    <t>GS</t>
  </si>
  <si>
    <t>South Georgia and the South Sandwich Islands</t>
  </si>
  <si>
    <t>South Georgia, South Sandwich Isl.</t>
  </si>
  <si>
    <t>GT</t>
  </si>
  <si>
    <t>Guatemala</t>
  </si>
  <si>
    <t>GU</t>
  </si>
  <si>
    <t>Guam</t>
  </si>
  <si>
    <t>GW</t>
  </si>
  <si>
    <t>Guinea-Bissau</t>
  </si>
  <si>
    <t>Guinea Bissau</t>
  </si>
  <si>
    <t>GY</t>
  </si>
  <si>
    <t>Guyana</t>
  </si>
  <si>
    <t>HK</t>
  </si>
  <si>
    <t>Hong Kong</t>
  </si>
  <si>
    <t>HM</t>
  </si>
  <si>
    <t>Heard Island and McDonald Islands</t>
  </si>
  <si>
    <t>Heard und McDonald Islands</t>
  </si>
  <si>
    <t>HN</t>
  </si>
  <si>
    <t>Honduras</t>
  </si>
  <si>
    <t>HR</t>
  </si>
  <si>
    <t>Croatia</t>
  </si>
  <si>
    <t>Kroatien</t>
  </si>
  <si>
    <t>HT</t>
  </si>
  <si>
    <t>Haiti</t>
  </si>
  <si>
    <t>HU</t>
  </si>
  <si>
    <t>Hungary</t>
  </si>
  <si>
    <t>Ungarn</t>
  </si>
  <si>
    <t>ID</t>
  </si>
  <si>
    <t>Indonesia</t>
  </si>
  <si>
    <t>Indonesien</t>
  </si>
  <si>
    <t>IE</t>
  </si>
  <si>
    <t>Ireland</t>
  </si>
  <si>
    <t>Irland</t>
  </si>
  <si>
    <t>IL</t>
  </si>
  <si>
    <t>Israel</t>
  </si>
  <si>
    <t>IM</t>
  </si>
  <si>
    <t>Isle of Man</t>
  </si>
  <si>
    <t>Insel Man</t>
  </si>
  <si>
    <t>IN</t>
  </si>
  <si>
    <t>India</t>
  </si>
  <si>
    <t>Indien</t>
  </si>
  <si>
    <t>IO</t>
  </si>
  <si>
    <t>British Indian Ocean Territory</t>
  </si>
  <si>
    <t>Britisch-Indischer Ozean</t>
  </si>
  <si>
    <t>IQ</t>
  </si>
  <si>
    <t>Iraq</t>
  </si>
  <si>
    <t>Irak</t>
  </si>
  <si>
    <t>IR</t>
  </si>
  <si>
    <t>Iran</t>
  </si>
  <si>
    <t>IS</t>
  </si>
  <si>
    <t>Iceland</t>
  </si>
  <si>
    <t>Island</t>
  </si>
  <si>
    <t>IT</t>
  </si>
  <si>
    <t>Italy</t>
  </si>
  <si>
    <t>Italien</t>
  </si>
  <si>
    <t>JE</t>
  </si>
  <si>
    <t>Jersey</t>
  </si>
  <si>
    <t>Insel Jersey</t>
  </si>
  <si>
    <t>JM</t>
  </si>
  <si>
    <t>Jamaica</t>
  </si>
  <si>
    <t>Jamaika</t>
  </si>
  <si>
    <t>JO</t>
  </si>
  <si>
    <t>Jordan</t>
  </si>
  <si>
    <t>Jordanien</t>
  </si>
  <si>
    <t>JP</t>
  </si>
  <si>
    <t>Japan</t>
  </si>
  <si>
    <t>KE</t>
  </si>
  <si>
    <t>Kenya</t>
  </si>
  <si>
    <t>Kenia</t>
  </si>
  <si>
    <t>KG</t>
  </si>
  <si>
    <t>Kyrgyzstan</t>
  </si>
  <si>
    <t>Kirgisistan</t>
  </si>
  <si>
    <t>KH</t>
  </si>
  <si>
    <t>Cambodia</t>
  </si>
  <si>
    <t>Kambodscha</t>
  </si>
  <si>
    <t>KI</t>
  </si>
  <si>
    <t>Kiribati</t>
  </si>
  <si>
    <t>KM</t>
  </si>
  <si>
    <t>Comoros</t>
  </si>
  <si>
    <t>Komoren</t>
  </si>
  <si>
    <t>KN</t>
  </si>
  <si>
    <t>Saint Kitts and Nevis</t>
  </si>
  <si>
    <t>St. Kitts Nevis Anguilla</t>
  </si>
  <si>
    <t>KP</t>
  </si>
  <si>
    <t>North Korea</t>
  </si>
  <si>
    <t>Nord Korea</t>
  </si>
  <si>
    <t>KR</t>
  </si>
  <si>
    <t>South Korea</t>
  </si>
  <si>
    <t>Süd Korea</t>
  </si>
  <si>
    <t>KW</t>
  </si>
  <si>
    <t>Kuwait</t>
  </si>
  <si>
    <t>KY</t>
  </si>
  <si>
    <t>Cayman Islands</t>
  </si>
  <si>
    <t>Kaiman Inseln</t>
  </si>
  <si>
    <t>KZ</t>
  </si>
  <si>
    <t>Kazakhstan</t>
  </si>
  <si>
    <t>Kasachstan</t>
  </si>
  <si>
    <t>LA</t>
  </si>
  <si>
    <t>Laos</t>
  </si>
  <si>
    <t>LB</t>
  </si>
  <si>
    <t>Lebanon</t>
  </si>
  <si>
    <t>Libanon</t>
  </si>
  <si>
    <t>LC</t>
  </si>
  <si>
    <t>Saint Lucia</t>
  </si>
  <si>
    <t>LI</t>
  </si>
  <si>
    <t>Liechtenstein</t>
  </si>
  <si>
    <t>LK</t>
  </si>
  <si>
    <t>Sri Lanka</t>
  </si>
  <si>
    <t>LR</t>
  </si>
  <si>
    <t>Liberia</t>
  </si>
  <si>
    <t>LS</t>
  </si>
  <si>
    <t>Lesotho</t>
  </si>
  <si>
    <t>LT</t>
  </si>
  <si>
    <t>Lithuania</t>
  </si>
  <si>
    <t>Litauen</t>
  </si>
  <si>
    <t>LU</t>
  </si>
  <si>
    <t>Luxembourg</t>
  </si>
  <si>
    <t>Luxemburg</t>
  </si>
  <si>
    <t>LV</t>
  </si>
  <si>
    <t>Latvia</t>
  </si>
  <si>
    <t>Lettland</t>
  </si>
  <si>
    <t>LY</t>
  </si>
  <si>
    <t>Libya</t>
  </si>
  <si>
    <t>Libyen</t>
  </si>
  <si>
    <t>Morocco</t>
  </si>
  <si>
    <t>Marokko</t>
  </si>
  <si>
    <t>MC</t>
  </si>
  <si>
    <t>Monaco</t>
  </si>
  <si>
    <t>MD</t>
  </si>
  <si>
    <t>Moldova</t>
  </si>
  <si>
    <t>Moldavien</t>
  </si>
  <si>
    <t>ME</t>
  </si>
  <si>
    <t>Montenegro</t>
  </si>
  <si>
    <t>MF</t>
  </si>
  <si>
    <t>Saint Martin</t>
  </si>
  <si>
    <t>MG</t>
  </si>
  <si>
    <t>Madagascar</t>
  </si>
  <si>
    <t>Madagaskar</t>
  </si>
  <si>
    <t>MH</t>
  </si>
  <si>
    <t>Marshall Islands</t>
  </si>
  <si>
    <t>Marshall Inseln</t>
  </si>
  <si>
    <t>MK</t>
  </si>
  <si>
    <t>Macedonia</t>
  </si>
  <si>
    <t>Mazedonien</t>
  </si>
  <si>
    <t>ML</t>
  </si>
  <si>
    <t>Mali</t>
  </si>
  <si>
    <t>MM</t>
  </si>
  <si>
    <t>Myanmar</t>
  </si>
  <si>
    <t>Birma</t>
  </si>
  <si>
    <t>MN</t>
  </si>
  <si>
    <t>Mongolia</t>
  </si>
  <si>
    <t>Mongolei</t>
  </si>
  <si>
    <t>MO</t>
  </si>
  <si>
    <t>Macao</t>
  </si>
  <si>
    <t>MP</t>
  </si>
  <si>
    <t>Northern Mariana Islands</t>
  </si>
  <si>
    <t>Marianen</t>
  </si>
  <si>
    <t>MQ</t>
  </si>
  <si>
    <t>Martinique</t>
  </si>
  <si>
    <t>MR</t>
  </si>
  <si>
    <t>Mauritania</t>
  </si>
  <si>
    <t>Mauretanien</t>
  </si>
  <si>
    <t>MS</t>
  </si>
  <si>
    <t>Montserrat</t>
  </si>
  <si>
    <t>MT</t>
  </si>
  <si>
    <t>Malta</t>
  </si>
  <si>
    <t>MU</t>
  </si>
  <si>
    <t>Mauritius</t>
  </si>
  <si>
    <t>MV</t>
  </si>
  <si>
    <t>Maldives</t>
  </si>
  <si>
    <t>Malediven</t>
  </si>
  <si>
    <t>MW</t>
  </si>
  <si>
    <t>Malawi</t>
  </si>
  <si>
    <t>MX</t>
  </si>
  <si>
    <t>Mexico</t>
  </si>
  <si>
    <t>Mexiko</t>
  </si>
  <si>
    <t>MY</t>
  </si>
  <si>
    <t>Malaysia</t>
  </si>
  <si>
    <t>MZ</t>
  </si>
  <si>
    <t>Mozambique</t>
  </si>
  <si>
    <t>Mocambique</t>
  </si>
  <si>
    <t>NA</t>
  </si>
  <si>
    <t>Namibia</t>
  </si>
  <si>
    <t>NC</t>
  </si>
  <si>
    <t>New Caledonia</t>
  </si>
  <si>
    <t>Neukaledonien</t>
  </si>
  <si>
    <t>NE</t>
  </si>
  <si>
    <t>Niger</t>
  </si>
  <si>
    <t>NF</t>
  </si>
  <si>
    <t>Norfolk Island</t>
  </si>
  <si>
    <t>Norfolk Inseln</t>
  </si>
  <si>
    <t>NG</t>
  </si>
  <si>
    <t>Nigeria</t>
  </si>
  <si>
    <t>NI</t>
  </si>
  <si>
    <t>Nicaragua</t>
  </si>
  <si>
    <t>NL</t>
  </si>
  <si>
    <t>Netherlands</t>
  </si>
  <si>
    <t>Niederlande</t>
  </si>
  <si>
    <t>NO</t>
  </si>
  <si>
    <t>Norway</t>
  </si>
  <si>
    <t>Norwegen</t>
  </si>
  <si>
    <t>NP</t>
  </si>
  <si>
    <t>Nepal</t>
  </si>
  <si>
    <t>NR</t>
  </si>
  <si>
    <t>Nauru</t>
  </si>
  <si>
    <t>NU</t>
  </si>
  <si>
    <t>Niue</t>
  </si>
  <si>
    <t>NZ</t>
  </si>
  <si>
    <t>New Zealand</t>
  </si>
  <si>
    <t>Neuseeland</t>
  </si>
  <si>
    <t>OM</t>
  </si>
  <si>
    <t>Oman</t>
  </si>
  <si>
    <t>PA</t>
  </si>
  <si>
    <t>Panama</t>
  </si>
  <si>
    <t>PE</t>
  </si>
  <si>
    <t>Peru</t>
  </si>
  <si>
    <t>PF</t>
  </si>
  <si>
    <t>French Polynesia</t>
  </si>
  <si>
    <t>Französisch Polynesien</t>
  </si>
  <si>
    <t>PG</t>
  </si>
  <si>
    <t>Papua New Guinea</t>
  </si>
  <si>
    <t>Papua Neuguinea</t>
  </si>
  <si>
    <t>PH</t>
  </si>
  <si>
    <t>Philippines</t>
  </si>
  <si>
    <t>Philippinen</t>
  </si>
  <si>
    <t>PK</t>
  </si>
  <si>
    <t>Pakistan</t>
  </si>
  <si>
    <t>PL</t>
  </si>
  <si>
    <t>Poland</t>
  </si>
  <si>
    <t>Polen</t>
  </si>
  <si>
    <t>PM</t>
  </si>
  <si>
    <t>Saint Pierre and Miquelon</t>
  </si>
  <si>
    <t>St. Pierre und Miquelon</t>
  </si>
  <si>
    <t>PN</t>
  </si>
  <si>
    <t>Pitcairn</t>
  </si>
  <si>
    <t>PR</t>
  </si>
  <si>
    <t>Puerto Rico</t>
  </si>
  <si>
    <t>PS</t>
  </si>
  <si>
    <t>Palestine</t>
  </si>
  <si>
    <t>Palästina</t>
  </si>
  <si>
    <t>PT</t>
  </si>
  <si>
    <t>Portugal</t>
  </si>
  <si>
    <t>PW</t>
  </si>
  <si>
    <t>Palau</t>
  </si>
  <si>
    <t>PY</t>
  </si>
  <si>
    <t>Paraguay</t>
  </si>
  <si>
    <t>QA</t>
  </si>
  <si>
    <t>Qatar</t>
  </si>
  <si>
    <t>RE</t>
  </si>
  <si>
    <t>Reunion</t>
  </si>
  <si>
    <t>RO</t>
  </si>
  <si>
    <t>Romania</t>
  </si>
  <si>
    <t>Rumänien</t>
  </si>
  <si>
    <t>RS</t>
  </si>
  <si>
    <t>Serbia</t>
  </si>
  <si>
    <t>Serbien</t>
  </si>
  <si>
    <t>RU</t>
  </si>
  <si>
    <t>Russia</t>
  </si>
  <si>
    <t>Rußland</t>
  </si>
  <si>
    <t>RW</t>
  </si>
  <si>
    <t>Rwanda</t>
  </si>
  <si>
    <t>Ruanda</t>
  </si>
  <si>
    <t>Saudi Arabia</t>
  </si>
  <si>
    <t>Saudi Arabien</t>
  </si>
  <si>
    <t>SB</t>
  </si>
  <si>
    <t>Solomon Islands</t>
  </si>
  <si>
    <t>Solomon Inseln</t>
  </si>
  <si>
    <t>SC</t>
  </si>
  <si>
    <t>Seychelles</t>
  </si>
  <si>
    <t>Seychellen</t>
  </si>
  <si>
    <t>SD</t>
  </si>
  <si>
    <t>Sudan</t>
  </si>
  <si>
    <t>SE</t>
  </si>
  <si>
    <t>Sweden</t>
  </si>
  <si>
    <t>Schweden</t>
  </si>
  <si>
    <t>SG</t>
  </si>
  <si>
    <t>Singapore</t>
  </si>
  <si>
    <t>Singapur</t>
  </si>
  <si>
    <t>SH</t>
  </si>
  <si>
    <t>Saint Helena; Ascension and Tristan da Cunha</t>
  </si>
  <si>
    <t>St. Helena</t>
  </si>
  <si>
    <t>SI</t>
  </si>
  <si>
    <t>Slovenia</t>
  </si>
  <si>
    <t>Slowenien</t>
  </si>
  <si>
    <t>SJ</t>
  </si>
  <si>
    <t>Svalbard and Jan Mayen</t>
  </si>
  <si>
    <t>Svalbard und Jan Mayen Islands</t>
  </si>
  <si>
    <t>SK</t>
  </si>
  <si>
    <t>Slovakia</t>
  </si>
  <si>
    <t>Slowakei -slowakische Republik-</t>
  </si>
  <si>
    <t>SL</t>
  </si>
  <si>
    <t>Sierra Leone</t>
  </si>
  <si>
    <t>SM</t>
  </si>
  <si>
    <t>San Marino</t>
  </si>
  <si>
    <t>SN</t>
  </si>
  <si>
    <t>Senegal</t>
  </si>
  <si>
    <t>SO</t>
  </si>
  <si>
    <t>Somalia</t>
  </si>
  <si>
    <t>SR</t>
  </si>
  <si>
    <t>Suriname</t>
  </si>
  <si>
    <t>Surinam</t>
  </si>
  <si>
    <t>SS</t>
  </si>
  <si>
    <t>South Sudan</t>
  </si>
  <si>
    <t>Süd Sudan</t>
  </si>
  <si>
    <t>ST</t>
  </si>
  <si>
    <t>Sao Tome and Principe</t>
  </si>
  <si>
    <t>Sao Tome</t>
  </si>
  <si>
    <t>SV</t>
  </si>
  <si>
    <t>El Salvador</t>
  </si>
  <si>
    <t>SX</t>
  </si>
  <si>
    <t>Sint Maarten</t>
  </si>
  <si>
    <t>SY</t>
  </si>
  <si>
    <t>Syrian Arab Republic</t>
  </si>
  <si>
    <t>Syrien</t>
  </si>
  <si>
    <t>SZ</t>
  </si>
  <si>
    <t>Swaziland</t>
  </si>
  <si>
    <t>Swasiland</t>
  </si>
  <si>
    <t>TC</t>
  </si>
  <si>
    <t>Turks and Caicos Islands</t>
  </si>
  <si>
    <t>Turks und Kaikos Inseln</t>
  </si>
  <si>
    <t>TD</t>
  </si>
  <si>
    <t>Chad</t>
  </si>
  <si>
    <t>Tschad</t>
  </si>
  <si>
    <t>TF</t>
  </si>
  <si>
    <t>French Southern Territories</t>
  </si>
  <si>
    <t>Französisches Süd-Territorium</t>
  </si>
  <si>
    <t>TG</t>
  </si>
  <si>
    <t>Togo</t>
  </si>
  <si>
    <t>TH</t>
  </si>
  <si>
    <t>Thailand</t>
  </si>
  <si>
    <t>TJ</t>
  </si>
  <si>
    <t>Tajikistan</t>
  </si>
  <si>
    <t>Tadschikistan</t>
  </si>
  <si>
    <t>TK</t>
  </si>
  <si>
    <t>Tokelau</t>
  </si>
  <si>
    <t>TL</t>
  </si>
  <si>
    <t>Timor-Leste</t>
  </si>
  <si>
    <t>Timor</t>
  </si>
  <si>
    <t>TM</t>
  </si>
  <si>
    <t>Turkmenistan</t>
  </si>
  <si>
    <t>TN</t>
  </si>
  <si>
    <t>Tunisia</t>
  </si>
  <si>
    <t>Tunesien</t>
  </si>
  <si>
    <t>TO</t>
  </si>
  <si>
    <t>Tonga</t>
  </si>
  <si>
    <t>TR</t>
  </si>
  <si>
    <t>Turkey</t>
  </si>
  <si>
    <t>Türkei</t>
  </si>
  <si>
    <t>TT</t>
  </si>
  <si>
    <t>Trinidad and Tobago</t>
  </si>
  <si>
    <t>Trinidad Tobago</t>
  </si>
  <si>
    <t>TV</t>
  </si>
  <si>
    <t>Tuvalu</t>
  </si>
  <si>
    <t>TW</t>
  </si>
  <si>
    <t>Taiwan</t>
  </si>
  <si>
    <t>TZ</t>
  </si>
  <si>
    <t>Tanzania</t>
  </si>
  <si>
    <t>Tansania</t>
  </si>
  <si>
    <t>UA</t>
  </si>
  <si>
    <t>Ukraine</t>
  </si>
  <si>
    <t>UG</t>
  </si>
  <si>
    <t>Uganda</t>
  </si>
  <si>
    <t>US</t>
  </si>
  <si>
    <t>United States</t>
  </si>
  <si>
    <t>Vereinigte Staaten von Amerika</t>
  </si>
  <si>
    <t>UY</t>
  </si>
  <si>
    <t>Uruguay</t>
  </si>
  <si>
    <t>UZ</t>
  </si>
  <si>
    <t>Uzbekistan</t>
  </si>
  <si>
    <t>Usbekistan</t>
  </si>
  <si>
    <t>VA</t>
  </si>
  <si>
    <t>Vatican City</t>
  </si>
  <si>
    <t>Vatikan</t>
  </si>
  <si>
    <t>VC</t>
  </si>
  <si>
    <t>Saint Vincent and the Grenadines</t>
  </si>
  <si>
    <t>St. Vincent</t>
  </si>
  <si>
    <t>VE</t>
  </si>
  <si>
    <t>Venezuela</t>
  </si>
  <si>
    <t>VG</t>
  </si>
  <si>
    <t>British Virgin Islands</t>
  </si>
  <si>
    <t>Virgin Island (Brit.)</t>
  </si>
  <si>
    <t>VI</t>
  </si>
  <si>
    <t>U.S. Virgin Islands</t>
  </si>
  <si>
    <t>Virgin Island (USA)</t>
  </si>
  <si>
    <t>VN</t>
  </si>
  <si>
    <t>Vietnam</t>
  </si>
  <si>
    <t>VU</t>
  </si>
  <si>
    <t>Vanuatu</t>
  </si>
  <si>
    <t>WF</t>
  </si>
  <si>
    <t>Wallis and Futuna</t>
  </si>
  <si>
    <t>Wallis et Futuna</t>
  </si>
  <si>
    <t>WS</t>
  </si>
  <si>
    <t>YE</t>
  </si>
  <si>
    <t>Yemen</t>
  </si>
  <si>
    <t>Jemen</t>
  </si>
  <si>
    <t>YT</t>
  </si>
  <si>
    <t>Mayotte</t>
  </si>
  <si>
    <t>ZA</t>
  </si>
  <si>
    <t>South Africa</t>
  </si>
  <si>
    <t>Südafrika</t>
  </si>
  <si>
    <t>ZM</t>
  </si>
  <si>
    <t>Zambia</t>
  </si>
  <si>
    <t>Sambia</t>
  </si>
  <si>
    <t>ZW</t>
  </si>
  <si>
    <t>Zimbabwe</t>
  </si>
  <si>
    <t>Multiple Sites</t>
  </si>
  <si>
    <t>Central office can require other sites implement corrective action.</t>
  </si>
  <si>
    <t>Some sites may conduct fewer processes than others.</t>
  </si>
  <si>
    <t>One address per site.</t>
  </si>
  <si>
    <t>Can be dissimilar processes at different sites or combination of sites that contribute to the same overall product or service.</t>
  </si>
  <si>
    <t>One address per campus.</t>
  </si>
  <si>
    <t>Processes may be operated to the same or different methods and procedures that are controlled through one common quality management system.</t>
  </si>
  <si>
    <t>Sites realize different products or services.</t>
  </si>
  <si>
    <t>Eine Adresse</t>
  </si>
  <si>
    <t>More than one product or service may be realized provided they are substantially (i.e., &gt;80 %) the same (e.g. a family of products) and realized through the same methods and procedures.</t>
  </si>
  <si>
    <t>One address per site and campus.</t>
  </si>
  <si>
    <t>Einige Standorte können weniger Prozesse als andere haben.</t>
  </si>
  <si>
    <t>Stichproben nach IAF MD 1 sind nur bei Zertifizierungen nach EN 9120 innerhalb festgelegter geografischer Grenzen zulässig.</t>
  </si>
  <si>
    <t>Eine Anschrift je Standort.</t>
  </si>
  <si>
    <t>Unterschiedliche Prozesse an verschiedenen Standorten oder eine Kombination von Standorten, die zum gleichen Produkt/der gleichen Dienstleistung beitragen, sind möglich.</t>
  </si>
  <si>
    <t>Es kann mehr als ein Produkt/ eine Dienstleistung realisiert werden, wenn diese im Wesentlichen (d. h. &gt; 80 %) identisch sein (z. B. eine Produktfamilie) und mit den gleichen Methoden und Verfahren realisiert werden.</t>
  </si>
  <si>
    <t>Eine Anschrift je Campus.</t>
  </si>
  <si>
    <t>Prozesse können mit den gleichen oder verschiedenen Methoden und Verfahren betrieben werden, die über ein gemeinsames Qualitätsmanagementsystem gesteuert werden.</t>
  </si>
  <si>
    <t>Standorte realisieren unterschiedliche Produkte oder Dienstleistungen.</t>
  </si>
  <si>
    <t>Eine Anschrift je Standort und Campus.</t>
  </si>
  <si>
    <t>Requires IAQG OPMT approval of rationale, justification, audit duration calculations, audit program, and sampling plan (for EN 9120, multiple site, or campus).</t>
  </si>
  <si>
    <t>Sampling per IAF MD 1 will only be allowed for EN 9120 certifications, with defined geographic limitations.</t>
  </si>
  <si>
    <t>Erfordert Genehmigung von Begründung, Rechtfertigung, Berechnung der Auditdauer, Auditprogramm und Stichprobenanweisung durch IAQG OPMT (für EN 9120, mehrere Standorte oder Campus).</t>
  </si>
  <si>
    <t>One address</t>
  </si>
  <si>
    <t>Keine Abhängigkeit von der Wertschöpfungskette angeschlossener Unternehmen, die unter dem gleichen Qualitätsmanagementsystem arbeiten</t>
  </si>
  <si>
    <t>No value stream dependencies from related companies, operating under the same quality management system</t>
  </si>
  <si>
    <t>Alle Standorte haben eine juristische oder vertragliche Bindung an die Zentrale</t>
  </si>
  <si>
    <t>All sites have a legal or contractual link with the central office</t>
  </si>
  <si>
    <t>Alle Standorte arbeiten unter einem gemeinsamen Qualitätsmanagementsystem mit zentraler Steuerung, Management Review und internen Audits</t>
  </si>
  <si>
    <t>All site operate under one quality management system with central control, management review, and internal audit</t>
  </si>
  <si>
    <t>Die Zentrale kann von anderen Standorten die Umsetzung von Korrekturmaßnahmen verlangen</t>
  </si>
  <si>
    <t>Central collection and analysis of data, with the ability to initiate organizational change</t>
  </si>
  <si>
    <t>Zentrale Datenerfassung und -analyse mit der Möglichkeit, organisatorische Veränderungen einzuleiten</t>
  </si>
  <si>
    <t>CAMPUS: In einer einzigen Wertschöpfungskette wird das Ergebnis eines Standorts an einem anderen Standort weiterverarbeitet, bis das Endprodukt erzeugt oder die Dienstleistung erbracht ist</t>
  </si>
  <si>
    <t>CAMPUS:In one single value stream the outputs from one site are an input to another site to realize the final product or service</t>
  </si>
  <si>
    <t>SEVERAL SITES: Processes at each of the sites are not substantially similar (i.e., &lt;80 % similar).</t>
  </si>
  <si>
    <t>COMPLEX: Overall structure contains combinations of multiple sites, campus (can be more than one campus/value stream), or several sites.</t>
  </si>
  <si>
    <t>SINGLE SITE: Eigenständige oder selbsttragende Organisation</t>
  </si>
  <si>
    <t>SINGLE SITE: Stand-alone self supporting organization</t>
  </si>
  <si>
    <t>SEVERAL SITES: Die Prozesse an den verschiedenen Standorten sind nicht grundsätzlich ähnlich (d. h. &lt; 80 % ähnlich).</t>
  </si>
  <si>
    <t>COMPLEX: Die Gesamtstruktur enthält Kombinationen aus mehreren Standorten, Campus (auch mehr als einer Wertschöpfungskette), oder verschiedenen Standorten.</t>
  </si>
  <si>
    <t>MULITPLE SITES: Alle Prozesse des QM-Systems sind grundsätzlich (d. h. &gt; 80 %) an allen Standorten identisch und arbeiten nach den gleichen Methoden und Verfahren (erfüllt IAF MD 1)</t>
  </si>
  <si>
    <t>MULTIPLE SITES: All QM system processes at all sites are substantially (i.e., &gt;80 %) the same and are operated to the same methods and procedures (complies with IAF MD 1)</t>
  </si>
  <si>
    <t>Achtung: Welcher Standort ist Zentralfunktion?</t>
  </si>
  <si>
    <t>Achtung: Welcher Standort bei Campus ist Kontrollfunktion</t>
  </si>
  <si>
    <t>Art Standort</t>
  </si>
  <si>
    <t>TB/TA</t>
  </si>
  <si>
    <t>19.2</t>
  </si>
  <si>
    <t>19.12</t>
  </si>
  <si>
    <t>19.2 &amp; 19.12</t>
  </si>
  <si>
    <t>Müssen je nach Aktivität aus bisherigem EAC "19.0" neu zugeordnet werden</t>
  </si>
  <si>
    <t>Afar</t>
  </si>
  <si>
    <t>AA</t>
  </si>
  <si>
    <t>Abchasisch</t>
  </si>
  <si>
    <t>Abkhazian</t>
  </si>
  <si>
    <t>AB</t>
  </si>
  <si>
    <t>Afrikaans</t>
  </si>
  <si>
    <t>Amharisch</t>
  </si>
  <si>
    <t>Amharic</t>
  </si>
  <si>
    <t>Arabisch</t>
  </si>
  <si>
    <t>Arabic</t>
  </si>
  <si>
    <t>Assamesisch</t>
  </si>
  <si>
    <t>Assamese</t>
  </si>
  <si>
    <t>Aymara</t>
  </si>
  <si>
    <t>AY</t>
  </si>
  <si>
    <t>Aserbaidschanisch</t>
  </si>
  <si>
    <t>Azerbaijani</t>
  </si>
  <si>
    <t>Baschkirisch</t>
  </si>
  <si>
    <t>Bashkir</t>
  </si>
  <si>
    <t>Belorussisch</t>
  </si>
  <si>
    <t>Belarusian</t>
  </si>
  <si>
    <t>Bulgarisch</t>
  </si>
  <si>
    <t>Bulgarian</t>
  </si>
  <si>
    <t>Biharisch</t>
  </si>
  <si>
    <t>Bihari</t>
  </si>
  <si>
    <t>Bislamisch</t>
  </si>
  <si>
    <t>Bislama</t>
  </si>
  <si>
    <t>Bengalisch</t>
  </si>
  <si>
    <t>Bengali</t>
  </si>
  <si>
    <t>Tibetanisch</t>
  </si>
  <si>
    <t>Tibetan</t>
  </si>
  <si>
    <t>Bretonisch</t>
  </si>
  <si>
    <t>Breton</t>
  </si>
  <si>
    <t>Katalanisch</t>
  </si>
  <si>
    <t>Catalan</t>
  </si>
  <si>
    <t>Korsisch</t>
  </si>
  <si>
    <t>Corsican</t>
  </si>
  <si>
    <t>Tschechisch</t>
  </si>
  <si>
    <t>Czech</t>
  </si>
  <si>
    <t>CS</t>
  </si>
  <si>
    <t>Walisisch</t>
  </si>
  <si>
    <t>Welsh</t>
  </si>
  <si>
    <t>Dänisch</t>
  </si>
  <si>
    <t>Danish</t>
  </si>
  <si>
    <t>DA</t>
  </si>
  <si>
    <t>Deutsch</t>
  </si>
  <si>
    <t>German</t>
  </si>
  <si>
    <t>Dzongkha/ Bhutani</t>
  </si>
  <si>
    <t>Dzongkha</t>
  </si>
  <si>
    <t>Griechisch</t>
  </si>
  <si>
    <t>Greek</t>
  </si>
  <si>
    <t>EL</t>
  </si>
  <si>
    <t>Englisch</t>
  </si>
  <si>
    <t>English</t>
  </si>
  <si>
    <t>Esperanto</t>
  </si>
  <si>
    <t>EO</t>
  </si>
  <si>
    <t>Spanisch</t>
  </si>
  <si>
    <t>Spanish</t>
  </si>
  <si>
    <t>Estnisch</t>
  </si>
  <si>
    <t>Estonian</t>
  </si>
  <si>
    <t>Baskisch</t>
  </si>
  <si>
    <t>Basque</t>
  </si>
  <si>
    <t>EU</t>
  </si>
  <si>
    <t>Persisch</t>
  </si>
  <si>
    <t>Persian</t>
  </si>
  <si>
    <t>FA</t>
  </si>
  <si>
    <t>Finnisch</t>
  </si>
  <si>
    <t>Finnish</t>
  </si>
  <si>
    <t>Fijian</t>
  </si>
  <si>
    <t>Färöisch</t>
  </si>
  <si>
    <t>Faroese</t>
  </si>
  <si>
    <t>Französisch</t>
  </si>
  <si>
    <t>French</t>
  </si>
  <si>
    <t>Friesisch</t>
  </si>
  <si>
    <t>Western Frisian</t>
  </si>
  <si>
    <t>FY</t>
  </si>
  <si>
    <t>Irisch</t>
  </si>
  <si>
    <t>Irish</t>
  </si>
  <si>
    <t>Schottisches Gälisch</t>
  </si>
  <si>
    <t>Scottish Gaelic</t>
  </si>
  <si>
    <t>Galizisch</t>
  </si>
  <si>
    <t>Galician</t>
  </si>
  <si>
    <t>Guarani</t>
  </si>
  <si>
    <t>Gujaratisch</t>
  </si>
  <si>
    <t>Gujarati</t>
  </si>
  <si>
    <t>Haussa</t>
  </si>
  <si>
    <t>Hausa</t>
  </si>
  <si>
    <t>HA</t>
  </si>
  <si>
    <t>Hebräisch</t>
  </si>
  <si>
    <t>Hebrew</t>
  </si>
  <si>
    <t>HE</t>
  </si>
  <si>
    <t>Hindi</t>
  </si>
  <si>
    <t>HI</t>
  </si>
  <si>
    <t>Kroatisch</t>
  </si>
  <si>
    <t>Croatian</t>
  </si>
  <si>
    <t>Ungarisch</t>
  </si>
  <si>
    <t>Hungarian</t>
  </si>
  <si>
    <t>Armenisch</t>
  </si>
  <si>
    <t>Armenian</t>
  </si>
  <si>
    <t>HY</t>
  </si>
  <si>
    <t>Interlingua</t>
  </si>
  <si>
    <t>Indonesisch</t>
  </si>
  <si>
    <t>Indonesian</t>
  </si>
  <si>
    <t>Interlingue</t>
  </si>
  <si>
    <t>Inupiak</t>
  </si>
  <si>
    <t>Inupiaq</t>
  </si>
  <si>
    <t>IK</t>
  </si>
  <si>
    <t>Isländisch</t>
  </si>
  <si>
    <t>Icelandic</t>
  </si>
  <si>
    <t>Italienisch</t>
  </si>
  <si>
    <t>Italian</t>
  </si>
  <si>
    <t>Inuktitut (Eskimo)</t>
  </si>
  <si>
    <t>Inuktitut</t>
  </si>
  <si>
    <t>IU</t>
  </si>
  <si>
    <t>Japanisch</t>
  </si>
  <si>
    <t>Japanese</t>
  </si>
  <si>
    <t>JA</t>
  </si>
  <si>
    <t>Javanisch</t>
  </si>
  <si>
    <t>Javanese</t>
  </si>
  <si>
    <t>JV</t>
  </si>
  <si>
    <t>Georgisch</t>
  </si>
  <si>
    <t>Georgian</t>
  </si>
  <si>
    <t>KA</t>
  </si>
  <si>
    <t>Kasachisch</t>
  </si>
  <si>
    <t>Kazakh</t>
  </si>
  <si>
    <t>KK</t>
  </si>
  <si>
    <t>Kalaallisut</t>
  </si>
  <si>
    <t>KL</t>
  </si>
  <si>
    <t>Kambodschanisch</t>
  </si>
  <si>
    <t>Central Khmer</t>
  </si>
  <si>
    <t>Kannada</t>
  </si>
  <si>
    <t>Koreanisch</t>
  </si>
  <si>
    <t>Korean</t>
  </si>
  <si>
    <t>KO</t>
  </si>
  <si>
    <t>Kaschmirisch</t>
  </si>
  <si>
    <t>Kashmiri</t>
  </si>
  <si>
    <t>KS</t>
  </si>
  <si>
    <t>Kurdisch</t>
  </si>
  <si>
    <t>Kurdish</t>
  </si>
  <si>
    <t>KU</t>
  </si>
  <si>
    <t>Kirgisisch</t>
  </si>
  <si>
    <t>Kirghiz</t>
  </si>
  <si>
    <t>Lateinisch</t>
  </si>
  <si>
    <t>Latin</t>
  </si>
  <si>
    <t>Lingala</t>
  </si>
  <si>
    <t>LN</t>
  </si>
  <si>
    <t>Laotisch</t>
  </si>
  <si>
    <t>Lao</t>
  </si>
  <si>
    <t>LO</t>
  </si>
  <si>
    <t>Litauisch</t>
  </si>
  <si>
    <t>Lithuanian</t>
  </si>
  <si>
    <t>Lettisch</t>
  </si>
  <si>
    <t>Latvian</t>
  </si>
  <si>
    <t>Malagasisch</t>
  </si>
  <si>
    <t>Malagasy</t>
  </si>
  <si>
    <t>Maorisch</t>
  </si>
  <si>
    <t>Maori</t>
  </si>
  <si>
    <t>MI</t>
  </si>
  <si>
    <t>Mazedonisch</t>
  </si>
  <si>
    <t>Macedonian</t>
  </si>
  <si>
    <t>Malajalam</t>
  </si>
  <si>
    <t>Malayalam</t>
  </si>
  <si>
    <t>Mongolisch</t>
  </si>
  <si>
    <t>Mongolian</t>
  </si>
  <si>
    <t>Moldavisch</t>
  </si>
  <si>
    <t>Moldawian</t>
  </si>
  <si>
    <t>Marathi</t>
  </si>
  <si>
    <t>Malaysisch</t>
  </si>
  <si>
    <t>Malay</t>
  </si>
  <si>
    <t>Maltesisch</t>
  </si>
  <si>
    <t>Maltese</t>
  </si>
  <si>
    <t>Burmesisch</t>
  </si>
  <si>
    <t>Burmese</t>
  </si>
  <si>
    <t>Nauruisch</t>
  </si>
  <si>
    <t>Nepalesisch</t>
  </si>
  <si>
    <t>Nepali</t>
  </si>
  <si>
    <t>Holländisch</t>
  </si>
  <si>
    <t>Dutch</t>
  </si>
  <si>
    <t>Norwegisch</t>
  </si>
  <si>
    <t>Norwegian</t>
  </si>
  <si>
    <t>Oromo</t>
  </si>
  <si>
    <t>Oriya</t>
  </si>
  <si>
    <t>OR</t>
  </si>
  <si>
    <t>Pundjabisch</t>
  </si>
  <si>
    <t>Panjabi</t>
  </si>
  <si>
    <t>Polnisch</t>
  </si>
  <si>
    <t>Polish</t>
  </si>
  <si>
    <t>Paschtu</t>
  </si>
  <si>
    <t>Pushto</t>
  </si>
  <si>
    <t>Portugiesisch</t>
  </si>
  <si>
    <t>Portuguese</t>
  </si>
  <si>
    <t>Quechua</t>
  </si>
  <si>
    <t>QU</t>
  </si>
  <si>
    <t>Rätoromanisch</t>
  </si>
  <si>
    <t>Romansh</t>
  </si>
  <si>
    <t>RM</t>
  </si>
  <si>
    <t>Kirundisch</t>
  </si>
  <si>
    <t>Rundi</t>
  </si>
  <si>
    <t>RN</t>
  </si>
  <si>
    <t>Rumänisch</t>
  </si>
  <si>
    <t>Romanian</t>
  </si>
  <si>
    <t>Russisch</t>
  </si>
  <si>
    <t>Russian</t>
  </si>
  <si>
    <t>Kijarwanda</t>
  </si>
  <si>
    <t>Kinyarwanda</t>
  </si>
  <si>
    <t>Sanskrit</t>
  </si>
  <si>
    <t>Zinti</t>
  </si>
  <si>
    <t>Sindhi</t>
  </si>
  <si>
    <t>Sango</t>
  </si>
  <si>
    <t>Serbokroatisch</t>
  </si>
  <si>
    <t>Serbo Croatian</t>
  </si>
  <si>
    <t>Singhalesisch</t>
  </si>
  <si>
    <t>Sinhala</t>
  </si>
  <si>
    <t>Slowakisch</t>
  </si>
  <si>
    <t>Slovak</t>
  </si>
  <si>
    <t>Slowenisch</t>
  </si>
  <si>
    <t>Slovenian</t>
  </si>
  <si>
    <t>Samoanisch</t>
  </si>
  <si>
    <t>Samoan</t>
  </si>
  <si>
    <t>Schonisch</t>
  </si>
  <si>
    <t>Shona</t>
  </si>
  <si>
    <t>Somalisch</t>
  </si>
  <si>
    <t>Somali</t>
  </si>
  <si>
    <t>Albanisch</t>
  </si>
  <si>
    <t>Albanian</t>
  </si>
  <si>
    <t>SQ</t>
  </si>
  <si>
    <t>Serbisch</t>
  </si>
  <si>
    <t>Serbian</t>
  </si>
  <si>
    <t>Swasiländisch</t>
  </si>
  <si>
    <t>Swati</t>
  </si>
  <si>
    <t>Sesothisch</t>
  </si>
  <si>
    <t>Southern Sotho</t>
  </si>
  <si>
    <t>Sudanesisch</t>
  </si>
  <si>
    <t>Sundanese</t>
  </si>
  <si>
    <t>SU</t>
  </si>
  <si>
    <t>Schwedisch</t>
  </si>
  <si>
    <t>Swedish</t>
  </si>
  <si>
    <t>Suaheli</t>
  </si>
  <si>
    <t>Swahili</t>
  </si>
  <si>
    <t>SW</t>
  </si>
  <si>
    <t>Tamilisch</t>
  </si>
  <si>
    <t>Tamil</t>
  </si>
  <si>
    <t>TA</t>
  </si>
  <si>
    <t>Tegulu</t>
  </si>
  <si>
    <t>Telugu</t>
  </si>
  <si>
    <t>TE</t>
  </si>
  <si>
    <t>Tadschikisch</t>
  </si>
  <si>
    <t>Tajik</t>
  </si>
  <si>
    <t>Thai</t>
  </si>
  <si>
    <t>Tigrinja</t>
  </si>
  <si>
    <t>Tigrinya</t>
  </si>
  <si>
    <t>TI</t>
  </si>
  <si>
    <t>Turkmenisch</t>
  </si>
  <si>
    <t>Turkmen</t>
  </si>
  <si>
    <t>Tagalog</t>
  </si>
  <si>
    <t>Sezuan</t>
  </si>
  <si>
    <t>Tswana</t>
  </si>
  <si>
    <t>Tongaisch</t>
  </si>
  <si>
    <t>Türkisch</t>
  </si>
  <si>
    <t>Turkish</t>
  </si>
  <si>
    <t>Tsongaisch</t>
  </si>
  <si>
    <t>Tsonga</t>
  </si>
  <si>
    <t>TS</t>
  </si>
  <si>
    <t>Tatarisch</t>
  </si>
  <si>
    <t>Tatar</t>
  </si>
  <si>
    <t>Twi</t>
  </si>
  <si>
    <t>Uigur</t>
  </si>
  <si>
    <t>Uighur</t>
  </si>
  <si>
    <t>Ukrainisch</t>
  </si>
  <si>
    <t>Ukrainian</t>
  </si>
  <si>
    <t>UK</t>
  </si>
  <si>
    <t>Urdu</t>
  </si>
  <si>
    <t>UR</t>
  </si>
  <si>
    <t>Usbekisch</t>
  </si>
  <si>
    <t>Uzbek</t>
  </si>
  <si>
    <t>Vietnamesisch</t>
  </si>
  <si>
    <t>Vietnamese</t>
  </si>
  <si>
    <t>Volapük</t>
  </si>
  <si>
    <t>VO</t>
  </si>
  <si>
    <t>Wolof</t>
  </si>
  <si>
    <t>WO</t>
  </si>
  <si>
    <t>Xhosa</t>
  </si>
  <si>
    <t>XH</t>
  </si>
  <si>
    <t>Jiddish</t>
  </si>
  <si>
    <t>Yiddish</t>
  </si>
  <si>
    <t>YI</t>
  </si>
  <si>
    <t>Joruba</t>
  </si>
  <si>
    <t>Yoruba</t>
  </si>
  <si>
    <t>YO</t>
  </si>
  <si>
    <t>Zhuang</t>
  </si>
  <si>
    <t>Chinesisch</t>
  </si>
  <si>
    <t>Chinese</t>
  </si>
  <si>
    <t>ZH</t>
  </si>
  <si>
    <t>Zulu</t>
  </si>
  <si>
    <t>ZU</t>
  </si>
  <si>
    <t>Sprache (DE)</t>
  </si>
  <si>
    <t>Sprache (EN)</t>
  </si>
  <si>
    <t>Scode</t>
  </si>
  <si>
    <t>% (*)</t>
  </si>
  <si>
    <t>Nr</t>
  </si>
  <si>
    <t>non Aero</t>
  </si>
  <si>
    <t>Non-Aero</t>
  </si>
  <si>
    <t>Nein</t>
  </si>
  <si>
    <t>Part</t>
  </si>
  <si>
    <t>21 G</t>
  </si>
  <si>
    <t>21 J</t>
  </si>
  <si>
    <t>Komplexität</t>
  </si>
  <si>
    <t>Zuschlag</t>
  </si>
  <si>
    <t>?</t>
  </si>
  <si>
    <t>Tätigkeiten</t>
  </si>
  <si>
    <t>Wert</t>
  </si>
  <si>
    <t>Zuschlagssatz (pro Punkt)</t>
  </si>
  <si>
    <t>Zwischenrechnung: Zuschlag (max 40%)</t>
  </si>
  <si>
    <t>Maximaler Zuschlag</t>
  </si>
  <si>
    <t>CB Name</t>
  </si>
  <si>
    <t>ABS - Quality Evaluations Inc.</t>
  </si>
  <si>
    <t>ABS Quality Evaluations, Inc.</t>
  </si>
  <si>
    <t>Advantage International Registrar, Inc.</t>
  </si>
  <si>
    <t>AENOR</t>
  </si>
  <si>
    <t>AFNOR CERTIFICATION</t>
  </si>
  <si>
    <t>AirCert GmbH</t>
  </si>
  <si>
    <t>American Systems Registrar (ASR)</t>
  </si>
  <si>
    <t>Aviation Suppliers Association dba ASACB</t>
  </si>
  <si>
    <t>BRTÜV Avaliações da Qualidade Ltda</t>
  </si>
  <si>
    <t>BSI</t>
  </si>
  <si>
    <t>BSI Group America Inc</t>
  </si>
  <si>
    <t>BSK System Assessment Center</t>
  </si>
  <si>
    <t>BUREAU VERITAS CERTIFICATION FRANCE</t>
  </si>
  <si>
    <t>Bureau Veritas Certification Germany</t>
  </si>
  <si>
    <t>Bureau Veritas Certification Holding SAS - UK Branch</t>
  </si>
  <si>
    <t>Bureau Veritas Certification NA</t>
  </si>
  <si>
    <t>BUREAU VERITAS IBERIA, S.L.</t>
  </si>
  <si>
    <t>Bureau Veritas Japan Co., Ltd.</t>
  </si>
  <si>
    <t>DEKRA Certification GmbH</t>
  </si>
  <si>
    <t>DEKRA Certification, Inc.</t>
  </si>
  <si>
    <t>DNV GL BUSINESS ASSURANCE ESPAÑA, S.L.</t>
  </si>
  <si>
    <t>DNV GL Business Assurance Italia S.r.l.</t>
  </si>
  <si>
    <t>DNV GL Business Assurance Japan KK</t>
  </si>
  <si>
    <t>DNV GL Business Assurance USA, Inc.</t>
  </si>
  <si>
    <t>DNV GL Business Assurance Zertifizierung &amp; Umweltgutachter GmbH</t>
  </si>
  <si>
    <t>DQS GmbH</t>
  </si>
  <si>
    <t>DQS Inc.</t>
  </si>
  <si>
    <t>DQS UK Ltd</t>
  </si>
  <si>
    <t>EAGLE Registrations Inc.</t>
  </si>
  <si>
    <t>EUROPEAN QUALITY ASSURANCE</t>
  </si>
  <si>
    <t>EURO-QUALITY-SYSTEM France</t>
  </si>
  <si>
    <t>FCAV - Fundação Carlos Alberto Vanzolini</t>
  </si>
  <si>
    <t>Great Western Registrar LLC</t>
  </si>
  <si>
    <t>ICIM S.p.A.</t>
  </si>
  <si>
    <t>IMS Reliance Ltd (trading as IMS International)</t>
  </si>
  <si>
    <t>International Standards Authority</t>
  </si>
  <si>
    <t>Intertek Testing ServicesNA dba Intertek</t>
  </si>
  <si>
    <t>ISOQAR</t>
  </si>
  <si>
    <t>Japan Quality Assurance Organization</t>
  </si>
  <si>
    <t>JIC Quality Assurance Ltd.</t>
  </si>
  <si>
    <t>LLOYD'S REGISTER QUALITY ASSURANCE ESPAÑA, S.L.</t>
  </si>
  <si>
    <t>Lloyd's Register Quality Assurance France</t>
  </si>
  <si>
    <t>Lloyd's Register Quality Assurance Ltd.</t>
  </si>
  <si>
    <t>Lloyd's Register Quality Assurance, Inc.</t>
  </si>
  <si>
    <t>LRQA Japan</t>
  </si>
  <si>
    <t>Management Certification of North Americ</t>
  </si>
  <si>
    <t>National Quality Assurance, USA</t>
  </si>
  <si>
    <t>NQA Certification Ltd</t>
  </si>
  <si>
    <t>NSAI Inc.</t>
  </si>
  <si>
    <t>NSF International Strategic Registration</t>
  </si>
  <si>
    <t>NVT Quality Certification Pvt. Ltd.</t>
  </si>
  <si>
    <t>Orion Registrar, Inc.</t>
  </si>
  <si>
    <t>Performance Review Institute Registrar</t>
  </si>
  <si>
    <t>Perry Johnson Registrars, Inc.</t>
  </si>
  <si>
    <t>Preferred Registrar Group</t>
  </si>
  <si>
    <t>Quality Austria</t>
  </si>
  <si>
    <t>Quality Systems Registrars, Inc.</t>
  </si>
  <si>
    <t>RINA SERVICES S.p.A.</t>
  </si>
  <si>
    <t>SAI Global Italia S.r.l. Socio Unico</t>
  </si>
  <si>
    <t>SGS ICS IBERICA S.A.</t>
  </si>
  <si>
    <t>SGS ICS SAS</t>
  </si>
  <si>
    <t>SGS United Kingdom Ltd</t>
  </si>
  <si>
    <t>Smithers Quality Assessments, Inc.</t>
  </si>
  <si>
    <t>SQS</t>
  </si>
  <si>
    <t>SRI Quality System Registrar</t>
  </si>
  <si>
    <t>The Registrar Company</t>
  </si>
  <si>
    <t>The Standards Institution of Israel</t>
  </si>
  <si>
    <t>TUEV NORD CERT GmbH</t>
  </si>
  <si>
    <t>TUV Italia S.r.l.</t>
  </si>
  <si>
    <t>TÜV Rheinland Cert GmbH</t>
  </si>
  <si>
    <t>TUV Rheinland of North America, Inc.</t>
  </si>
  <si>
    <t>TUV SUD America Inc.</t>
  </si>
  <si>
    <t>TUV SUD Managementservice GmbH</t>
  </si>
  <si>
    <t>TUV USA, Inc.</t>
  </si>
  <si>
    <t>UNAVIAcert S.r.l.</t>
  </si>
  <si>
    <t>United Registrar of Systems Limited</t>
  </si>
  <si>
    <t>World Certification Services Ltd.</t>
  </si>
  <si>
    <t>Expiry</t>
  </si>
  <si>
    <t>Aus OASIS erzeugt</t>
  </si>
  <si>
    <t>CB FullName</t>
  </si>
  <si>
    <t>Trends</t>
  </si>
  <si>
    <t xml:space="preserve">Satisfactory </t>
  </si>
  <si>
    <t xml:space="preserve">Unsatisfactory </t>
  </si>
  <si>
    <t>Audit</t>
  </si>
  <si>
    <t>Jahr</t>
  </si>
  <si>
    <t>Ja</t>
  </si>
  <si>
    <t>17.2_18.0</t>
  </si>
  <si>
    <t>04.0_05.0</t>
  </si>
  <si>
    <t>ABS - Quality Evaluations Inc. (US)</t>
  </si>
  <si>
    <t>ABS Quality Evaluations, Inc. (US)</t>
  </si>
  <si>
    <t>Advantage International Registrar, Inc. (US)</t>
  </si>
  <si>
    <t>AENOR (ES)</t>
  </si>
  <si>
    <t>AFNOR CERTIFICATION (FR)</t>
  </si>
  <si>
    <t>AirCert GmbH (DE)</t>
  </si>
  <si>
    <t>American Systems Registrar (ASR) (US)</t>
  </si>
  <si>
    <t>Aviation Suppliers Association dba ASACB (US)</t>
  </si>
  <si>
    <t>BRTÜV Avaliações da Qualidade Ltda (BR)</t>
  </si>
  <si>
    <t>BSI (GB)</t>
  </si>
  <si>
    <t>BSI Group America Inc (US)</t>
  </si>
  <si>
    <t>BSK System Assessment Center (JP)</t>
  </si>
  <si>
    <t>Bureau Veritas Certification Holding SAS - UK Branch (GB)</t>
  </si>
  <si>
    <t>BUREAU VERITAS CERTIFICATION FRANCE (FR)</t>
  </si>
  <si>
    <t>Bureau Veritas Certification Germany (DE)</t>
  </si>
  <si>
    <t>Bureau Veritas Certification NA (US)</t>
  </si>
  <si>
    <t>Bureau Veritas Japan Co., Ltd. (JP)</t>
  </si>
  <si>
    <t>BUREAU VERITAS IBERIA, S.L. (ES)</t>
  </si>
  <si>
    <t>Certification Association "Russian Register" (RU)</t>
  </si>
  <si>
    <t>Certification Association "Russian Register"</t>
  </si>
  <si>
    <t>CERTIFICACIÓN Y CONFIANZA CÁMARA, S.L.U. (ES)</t>
  </si>
  <si>
    <t>CERTIFICACIÓN Y CONFIANZA CÁMARA, S.L.U.</t>
  </si>
  <si>
    <t>DEKRA Certification GmbH (DE)</t>
  </si>
  <si>
    <t>DEKRA Certification, Inc. (US)</t>
  </si>
  <si>
    <t>Demonstration CB (US)</t>
  </si>
  <si>
    <t>Demonstration CB</t>
  </si>
  <si>
    <t>Demonstration CB 2 (US)</t>
  </si>
  <si>
    <t>Demonstration CB 2</t>
  </si>
  <si>
    <t>DNV GL BUSINESS ASSURANCE ESPAÑA, S.L. (ES)</t>
  </si>
  <si>
    <t>DNV GL Business Assurance Zertifizierung &amp; Umweltgutachter GmbH (DE)</t>
  </si>
  <si>
    <t>DNV GL Business Assurance Italia S.r.l. (IT)</t>
  </si>
  <si>
    <t>DNV GL Business Assurance Japan KK (JP)</t>
  </si>
  <si>
    <t>DNV GL Business Assurance USA, Inc. (US)</t>
  </si>
  <si>
    <t>DQS GmbH (DE)</t>
  </si>
  <si>
    <t>DQS Inc. (US)</t>
  </si>
  <si>
    <t>DQS UK Ltd (GB)</t>
  </si>
  <si>
    <t>EAGLE Registrations Inc. (US)</t>
  </si>
  <si>
    <t>EUROPEAN QUALITY ASSURANCE (ES)</t>
  </si>
  <si>
    <t>EURO-QUALITY-SYSTEM France (FR)</t>
  </si>
  <si>
    <t>FCAV - Fundação Carlos Alberto Vanzolini (BR)</t>
  </si>
  <si>
    <t>Great Western Registrar LLC (US)</t>
  </si>
  <si>
    <t>ICIM S.p.A. (IT)</t>
  </si>
  <si>
    <t>IMS Reliance Ltd (trading as IMS International) (GB)</t>
  </si>
  <si>
    <t>Intertek Testing ServicesNA dba Intertek (US)</t>
  </si>
  <si>
    <t>International Standards Authority (US)</t>
  </si>
  <si>
    <t>ISOQAR (US)</t>
  </si>
  <si>
    <t>JIC Quality Assurance Ltd. (JP)</t>
  </si>
  <si>
    <t>Japan Quality Assurance Organization (JP)</t>
  </si>
  <si>
    <t>Lloyd's Register Quality Assurance Ltd. (GB)</t>
  </si>
  <si>
    <t>Lloyd's Register Quality Assurance, Inc. (US)</t>
  </si>
  <si>
    <t>Lloyd's Register Quality Assurance France (FR)</t>
  </si>
  <si>
    <t>LRQA Japan (JP)</t>
  </si>
  <si>
    <t>LLOYD'S REGISTER QUALITY ASSURANCE ESPAÑA, S.L. (ES)</t>
  </si>
  <si>
    <t>Management Certification of North Americ (US)</t>
  </si>
  <si>
    <t>National Quality Assurance, USA (US)</t>
  </si>
  <si>
    <t>NQA Certification Ltd (GB)</t>
  </si>
  <si>
    <t>Novo Star Management Systems Solutions India Private Limited (IN)</t>
  </si>
  <si>
    <t>Novo Star Management Systems Solutions India Private Limited</t>
  </si>
  <si>
    <t>NSAI Inc. (US)</t>
  </si>
  <si>
    <t>NSF International Strategic Registration (US)</t>
  </si>
  <si>
    <t>NVT Quality Certification Pvt. Ltd. (IN)</t>
  </si>
  <si>
    <t>Orion Registrar, Inc. (US)</t>
  </si>
  <si>
    <t>Performance Review Institute Registrar (US)</t>
  </si>
  <si>
    <t>Perry Johnson Registrars, Inc. (US)</t>
  </si>
  <si>
    <t>Preferred Registrar Group (US)</t>
  </si>
  <si>
    <t>QMI-SAI Canada Limited (SAI Global) (CA)</t>
  </si>
  <si>
    <t>QMI-SAI Canada Limited (SAI Global)</t>
  </si>
  <si>
    <t>Quality Systems Registrars, Inc. (US)</t>
  </si>
  <si>
    <t>Quality Austria (AT)</t>
  </si>
  <si>
    <t>RINA SERVICES S.p.A. (IT)</t>
  </si>
  <si>
    <t>SAI Global Italia S.r.l. Socio Unico (IT)</t>
  </si>
  <si>
    <t>SGS ICS SAS (FR)</t>
  </si>
  <si>
    <t>SGS Certification and Business Enhancement, a Division of SGS North America Inc. (US)</t>
  </si>
  <si>
    <t>SGS Certification and Business Enhancement, a Division of SGS North America Inc.</t>
  </si>
  <si>
    <t>SGS ICS IBERICA S.A. (ES)</t>
  </si>
  <si>
    <t>SGS United Kingdom Ltd (GB)</t>
  </si>
  <si>
    <t>Smithers Quality Assessments, Inc. (US)</t>
  </si>
  <si>
    <t>SQS (CH)</t>
  </si>
  <si>
    <t>SRI Quality System Registrar (US)</t>
  </si>
  <si>
    <t>The Registrar Company (CA)</t>
  </si>
  <si>
    <t>The Standards Institution of Israel (IL)</t>
  </si>
  <si>
    <t>TUV Rheinland of North America, Inc. (US)</t>
  </si>
  <si>
    <t>TUEV NORD CERT GmbH (DE)</t>
  </si>
  <si>
    <t>TUV Italia S.r.l. (IT)</t>
  </si>
  <si>
    <t>TUV SUD America Inc. (US)</t>
  </si>
  <si>
    <t>TUV SUD Managementservice GmbH (DE)</t>
  </si>
  <si>
    <t>TUV USA, Inc. (US)</t>
  </si>
  <si>
    <t>TÜV Rheinland Cert GmbH (DE)</t>
  </si>
  <si>
    <t>UNAVIAcert S.r.l. (IT)</t>
  </si>
  <si>
    <t>United Registrar of Systems Limited (GB)</t>
  </si>
  <si>
    <t>World Certification Services Ltd. (GB)</t>
  </si>
  <si>
    <t>Fragebogen</t>
  </si>
  <si>
    <t>A19F100</t>
  </si>
  <si>
    <t>Additions</t>
  </si>
  <si>
    <t>Vor/Nachbereitung</t>
  </si>
  <si>
    <t>02/08.17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</si>
</sst>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quot;€&quot;* #,##0.00_);_(&quot;€&quot;* \(#,##0.00\);_(&quot;€&quot;* &quot;-&quot;??_);_(@_)"/>
    <numFmt numFmtId="165" formatCode="_-* #,##0.00\ [$€-1]_-;\-* #,##0.00\ [$€-1]_-;_-* &quot;-&quot;??\ [$€-1]_-"/>
    <numFmt numFmtId="166" formatCode="dd/mm/yy;@"/>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8"/>
      <name val="Arial"/>
      <family val="2"/>
    </font>
    <font>
      <sz val="6"/>
      <name val="Arial"/>
      <family val="2"/>
    </font>
    <font>
      <sz val="10"/>
      <name val="MS Sans Serif"/>
      <family val="2"/>
    </font>
    <font>
      <sz val="10"/>
      <name val="Arial"/>
      <family val="2"/>
    </font>
    <font>
      <sz val="12"/>
      <name val="Arial"/>
      <family val="2"/>
    </font>
    <font>
      <sz val="11"/>
      <name val="Arial"/>
      <family val="2"/>
    </font>
    <font>
      <sz val="10"/>
      <color indexed="8"/>
      <name val="Arial"/>
      <family val="2"/>
    </font>
    <font>
      <sz val="8"/>
      <color indexed="9"/>
      <name val="Arial"/>
      <family val="2"/>
    </font>
    <font>
      <b/>
      <sz val="10"/>
      <color indexed="9"/>
      <name val="Arial"/>
      <family val="2"/>
    </font>
    <font>
      <sz val="10"/>
      <color theme="0"/>
      <name val="Arial"/>
      <family val="2"/>
    </font>
    <font>
      <b/>
      <sz val="10"/>
      <color theme="0"/>
      <name val="Arial"/>
      <family val="2"/>
    </font>
    <font>
      <sz val="8"/>
      <color indexed="81"/>
      <name val="Tahoma"/>
      <family val="2"/>
    </font>
    <font>
      <b/>
      <sz val="8"/>
      <color indexed="81"/>
      <name val="Tahoma"/>
      <family val="2"/>
    </font>
    <font>
      <b/>
      <sz val="8"/>
      <color indexed="16"/>
      <name val="Tahoma"/>
      <family val="2"/>
    </font>
    <font>
      <i/>
      <sz val="10"/>
      <name val="Arial"/>
      <family val="2"/>
    </font>
    <font>
      <sz val="10"/>
      <name val="Arial"/>
      <family val="2"/>
    </font>
    <font>
      <i/>
      <sz val="10"/>
      <color theme="0" tint="-0.499984740745262"/>
      <name val="Arial"/>
      <family val="2"/>
    </font>
    <font>
      <b/>
      <sz val="10"/>
      <color theme="3"/>
      <name val="Arial"/>
      <family val="2"/>
    </font>
    <font>
      <sz val="11"/>
      <color indexed="8"/>
      <name val="Calibri"/>
      <family val="2"/>
    </font>
    <font>
      <b/>
      <sz val="11"/>
      <color indexed="8"/>
      <name val="Calibri"/>
      <family val="2"/>
    </font>
    <font>
      <b/>
      <i/>
      <sz val="9"/>
      <color theme="1"/>
      <name val="Arial"/>
      <family val="2"/>
    </font>
    <font>
      <sz val="10"/>
      <color theme="1"/>
      <name val="Arial"/>
      <family val="2"/>
    </font>
    <font>
      <b/>
      <sz val="11"/>
      <color rgb="FFFF0000"/>
      <name val="Calibri"/>
      <family val="2"/>
    </font>
    <font>
      <b/>
      <sz val="9"/>
      <name val="Arial"/>
      <family val="2"/>
    </font>
    <font>
      <u/>
      <sz val="10"/>
      <color theme="10"/>
      <name val="Arial"/>
      <family val="2"/>
    </font>
    <font>
      <b/>
      <i/>
      <sz val="8"/>
      <color rgb="FFFF0000"/>
      <name val="Arial"/>
      <family val="2"/>
    </font>
    <font>
      <b/>
      <sz val="10"/>
      <color theme="5"/>
      <name val="Arial"/>
      <family val="2"/>
    </font>
    <font>
      <sz val="10"/>
      <color theme="0" tint="-0.499984740745262"/>
      <name val="Arial"/>
      <family val="2"/>
    </font>
    <font>
      <i/>
      <sz val="8"/>
      <color theme="0" tint="-0.499984740745262"/>
      <name val="Arial"/>
      <family val="2"/>
    </font>
    <font>
      <b/>
      <sz val="10"/>
      <color theme="5" tint="-0.249977111117893"/>
      <name val="Arial"/>
      <family val="2"/>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22"/>
        <bgColor indexed="0"/>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style="thin">
        <color indexed="22"/>
      </right>
      <top style="thin">
        <color indexed="22"/>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s>
  <cellStyleXfs count="32">
    <xf numFmtId="0" fontId="0" fillId="0" borderId="0"/>
    <xf numFmtId="165" fontId="12" fillId="0" borderId="0" applyFont="0" applyFill="0" applyBorder="0" applyAlignment="0" applyProtection="0"/>
    <xf numFmtId="9" fontId="6" fillId="0" borderId="0" applyFont="0" applyFill="0" applyBorder="0" applyAlignment="0" applyProtection="0"/>
    <xf numFmtId="164" fontId="25" fillId="0" borderId="0" applyFont="0" applyFill="0" applyBorder="0" applyAlignment="0" applyProtection="0"/>
    <xf numFmtId="0" fontId="5" fillId="0" borderId="0"/>
    <xf numFmtId="0" fontId="16" fillId="0" borderId="0"/>
    <xf numFmtId="0" fontId="4" fillId="0" borderId="0"/>
    <xf numFmtId="0" fontId="6" fillId="0" borderId="0"/>
    <xf numFmtId="0" fontId="34" fillId="0" borderId="0" applyNumberFormat="0" applyFill="0" applyBorder="0" applyAlignment="0" applyProtection="0">
      <alignment vertical="top"/>
      <protection locked="0"/>
    </xf>
    <xf numFmtId="164" fontId="6"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164" fontId="6" fillId="0" borderId="0" applyFont="0" applyFill="0" applyBorder="0" applyAlignment="0" applyProtection="0"/>
    <xf numFmtId="0" fontId="1" fillId="0" borderId="0"/>
    <xf numFmtId="0" fontId="1" fillId="0" borderId="0"/>
    <xf numFmtId="164" fontId="6"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164" fontId="6" fillId="0" borderId="0" applyFont="0" applyFill="0" applyBorder="0" applyAlignment="0" applyProtection="0"/>
    <xf numFmtId="0" fontId="1" fillId="0" borderId="0"/>
    <xf numFmtId="0" fontId="1" fillId="0" borderId="0"/>
    <xf numFmtId="0" fontId="6" fillId="0" borderId="0"/>
  </cellStyleXfs>
  <cellXfs count="874">
    <xf numFmtId="0" fontId="0" fillId="0" borderId="0" xfId="0"/>
    <xf numFmtId="0" fontId="0" fillId="0" borderId="0" xfId="0" applyBorder="1" applyAlignment="1"/>
    <xf numFmtId="0" fontId="0" fillId="0" borderId="0" xfId="0" applyBorder="1"/>
    <xf numFmtId="0" fontId="0" fillId="0" borderId="1" xfId="0" applyBorder="1" applyAlignment="1"/>
    <xf numFmtId="0" fontId="0" fillId="0" borderId="2" xfId="0" applyBorder="1" applyAlignment="1"/>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0" fillId="0" borderId="4" xfId="0" applyBorder="1"/>
    <xf numFmtId="0" fontId="15" fillId="0" borderId="5" xfId="0" applyFont="1" applyBorder="1" applyAlignment="1">
      <alignment horizontal="left" vertical="top" wrapText="1"/>
    </xf>
    <xf numFmtId="0" fontId="15" fillId="0" borderId="1" xfId="0" applyFont="1" applyBorder="1" applyAlignment="1">
      <alignment horizontal="left" vertical="top" wrapText="1"/>
    </xf>
    <xf numFmtId="0" fontId="0" fillId="0" borderId="1" xfId="0" applyBorder="1"/>
    <xf numFmtId="0" fontId="0" fillId="0" borderId="6" xfId="0" applyBorder="1"/>
    <xf numFmtId="0" fontId="0" fillId="0" borderId="0" xfId="0" applyProtection="1"/>
    <xf numFmtId="0" fontId="0" fillId="0" borderId="3" xfId="0" applyBorder="1" applyProtection="1"/>
    <xf numFmtId="0" fontId="0" fillId="0" borderId="0" xfId="0" applyBorder="1" applyProtection="1"/>
    <xf numFmtId="0" fontId="0" fillId="0" borderId="0" xfId="0" applyAlignment="1" applyProtection="1">
      <alignment vertical="center"/>
    </xf>
    <xf numFmtId="0" fontId="9" fillId="0" borderId="0" xfId="0" applyFont="1" applyBorder="1" applyAlignment="1" applyProtection="1">
      <alignment horizontal="left" vertical="center"/>
    </xf>
    <xf numFmtId="0" fontId="9"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7" fillId="0" borderId="0" xfId="0" applyFont="1" applyBorder="1" applyProtection="1"/>
    <xf numFmtId="0" fontId="17" fillId="0" borderId="4" xfId="0" applyFont="1" applyBorder="1" applyAlignment="1" applyProtection="1"/>
    <xf numFmtId="0" fontId="7" fillId="0" borderId="4" xfId="0" applyFont="1" applyBorder="1" applyProtection="1"/>
    <xf numFmtId="0" fontId="7" fillId="0" borderId="3" xfId="0" applyFont="1" applyBorder="1" applyProtection="1"/>
    <xf numFmtId="0" fontId="7" fillId="0" borderId="0" xfId="0" applyFont="1" applyProtection="1"/>
    <xf numFmtId="0" fontId="0" fillId="0" borderId="0" xfId="0" applyFill="1" applyBorder="1" applyProtection="1"/>
    <xf numFmtId="0" fontId="0" fillId="0" borderId="4" xfId="0" applyBorder="1" applyProtection="1"/>
    <xf numFmtId="0" fontId="0" fillId="3" borderId="5" xfId="0" applyFill="1" applyBorder="1"/>
    <xf numFmtId="0" fontId="0" fillId="3" borderId="1" xfId="0" applyFill="1" applyBorder="1"/>
    <xf numFmtId="0" fontId="0" fillId="3" borderId="6" xfId="0" applyFill="1" applyBorder="1"/>
    <xf numFmtId="0" fontId="0" fillId="2" borderId="29" xfId="0" applyFill="1" applyBorder="1"/>
    <xf numFmtId="0" fontId="0" fillId="0" borderId="3" xfId="0" applyBorder="1" applyAlignment="1" applyProtection="1">
      <alignment horizontal="right"/>
    </xf>
    <xf numFmtId="165" fontId="0" fillId="0" borderId="31" xfId="1" applyFont="1" applyBorder="1"/>
    <xf numFmtId="0" fontId="16" fillId="0" borderId="30" xfId="0" applyFont="1" applyBorder="1" applyProtection="1"/>
    <xf numFmtId="0" fontId="16" fillId="0" borderId="0" xfId="0" applyFont="1" applyFill="1" applyBorder="1" applyProtection="1"/>
    <xf numFmtId="0" fontId="0" fillId="0" borderId="0" xfId="0" applyFill="1" applyBorder="1" applyAlignment="1"/>
    <xf numFmtId="0" fontId="0" fillId="0" borderId="0" xfId="0" applyFill="1"/>
    <xf numFmtId="0" fontId="0" fillId="0" borderId="0" xfId="0" applyFill="1" applyBorder="1"/>
    <xf numFmtId="0" fontId="0" fillId="0" borderId="18" xfId="0" applyBorder="1"/>
    <xf numFmtId="0" fontId="0" fillId="0" borderId="16" xfId="0" applyBorder="1"/>
    <xf numFmtId="0" fontId="0" fillId="0" borderId="3" xfId="0" applyBorder="1"/>
    <xf numFmtId="0" fontId="0" fillId="0" borderId="5" xfId="0" applyBorder="1"/>
    <xf numFmtId="0" fontId="13" fillId="5" borderId="29" xfId="0" applyFont="1" applyFill="1" applyBorder="1"/>
    <xf numFmtId="0" fontId="13" fillId="0" borderId="30" xfId="0" applyFont="1" applyBorder="1"/>
    <xf numFmtId="0" fontId="13" fillId="0" borderId="31" xfId="0" applyFont="1" applyBorder="1"/>
    <xf numFmtId="0" fontId="0" fillId="0" borderId="0" xfId="0" applyFill="1" applyBorder="1" applyAlignment="1" applyProtection="1"/>
    <xf numFmtId="0" fontId="0" fillId="0" borderId="0" xfId="0" applyAlignment="1" applyProtection="1"/>
    <xf numFmtId="0" fontId="0" fillId="0" borderId="0" xfId="0" applyBorder="1" applyAlignment="1" applyProtection="1">
      <alignment horizontal="right"/>
    </xf>
    <xf numFmtId="0" fontId="17" fillId="0" borderId="0" xfId="0" applyFont="1" applyBorder="1" applyAlignment="1" applyProtection="1">
      <alignment vertical="center"/>
    </xf>
    <xf numFmtId="0" fontId="9" fillId="7" borderId="14" xfId="0" applyFont="1" applyFill="1" applyBorder="1" applyAlignment="1" applyProtection="1">
      <alignment horizontal="center" vertical="center"/>
      <protection locked="0"/>
    </xf>
    <xf numFmtId="0" fontId="0" fillId="0" borderId="0" xfId="0"/>
    <xf numFmtId="0" fontId="0" fillId="2" borderId="18" xfId="0" applyFill="1" applyBorder="1" applyAlignment="1"/>
    <xf numFmtId="0" fontId="6" fillId="0" borderId="0" xfId="0" applyFont="1" applyBorder="1"/>
    <xf numFmtId="0" fontId="6" fillId="0" borderId="3" xfId="0" applyFont="1" applyBorder="1"/>
    <xf numFmtId="0" fontId="6" fillId="0" borderId="0" xfId="0" applyFont="1" applyFill="1" applyBorder="1"/>
    <xf numFmtId="0" fontId="6" fillId="2" borderId="15" xfId="0" applyFont="1" applyFill="1" applyBorder="1" applyAlignment="1"/>
    <xf numFmtId="0" fontId="6" fillId="2" borderId="16" xfId="0" applyFont="1" applyFill="1" applyBorder="1" applyAlignment="1"/>
    <xf numFmtId="0" fontId="6" fillId="0" borderId="4" xfId="0" applyFont="1" applyBorder="1" applyAlignment="1">
      <alignment wrapText="1"/>
    </xf>
    <xf numFmtId="0" fontId="6" fillId="0" borderId="1" xfId="0" applyFont="1" applyFill="1" applyBorder="1"/>
    <xf numFmtId="0" fontId="6" fillId="0" borderId="6" xfId="0" applyFont="1" applyBorder="1" applyAlignment="1">
      <alignment wrapText="1"/>
    </xf>
    <xf numFmtId="0" fontId="0" fillId="0" borderId="6" xfId="0" applyBorder="1" applyProtection="1"/>
    <xf numFmtId="0" fontId="6" fillId="0" borderId="0" xfId="0" applyFont="1"/>
    <xf numFmtId="0" fontId="6" fillId="2" borderId="29" xfId="0" applyFont="1" applyFill="1" applyBorder="1" applyAlignment="1"/>
    <xf numFmtId="0" fontId="6" fillId="0" borderId="30" xfId="0" applyFont="1" applyBorder="1"/>
    <xf numFmtId="0" fontId="6" fillId="0" borderId="31" xfId="0" applyFont="1" applyBorder="1"/>
    <xf numFmtId="0" fontId="0" fillId="3" borderId="17" xfId="0" applyFill="1" applyBorder="1" applyAlignment="1" applyProtection="1"/>
    <xf numFmtId="0" fontId="6" fillId="7" borderId="14" xfId="0" applyFont="1" applyFill="1" applyBorder="1" applyAlignment="1" applyProtection="1">
      <alignment horizontal="center"/>
      <protection locked="0"/>
    </xf>
    <xf numFmtId="0" fontId="6" fillId="11" borderId="14" xfId="0" applyFont="1" applyFill="1" applyBorder="1" applyAlignment="1" applyProtection="1">
      <alignment horizontal="center"/>
      <protection locked="0"/>
    </xf>
    <xf numFmtId="0" fontId="9" fillId="0" borderId="0" xfId="0" applyFont="1" applyBorder="1" applyAlignment="1">
      <alignment horizontal="center"/>
    </xf>
    <xf numFmtId="0" fontId="0" fillId="0" borderId="3" xfId="0" applyFill="1" applyBorder="1"/>
    <xf numFmtId="0" fontId="0" fillId="0" borderId="5" xfId="0" applyFill="1" applyBorder="1"/>
    <xf numFmtId="0" fontId="6" fillId="5" borderId="18" xfId="0" applyFont="1" applyFill="1" applyBorder="1" applyAlignment="1"/>
    <xf numFmtId="0" fontId="0" fillId="5" borderId="16" xfId="0" applyFill="1" applyBorder="1"/>
    <xf numFmtId="9" fontId="6" fillId="0" borderId="4" xfId="0" applyNumberFormat="1" applyFont="1" applyBorder="1" applyAlignment="1">
      <alignment horizontal="right"/>
    </xf>
    <xf numFmtId="9" fontId="0" fillId="0" borderId="4" xfId="0" applyNumberFormat="1" applyBorder="1" applyAlignment="1">
      <alignment horizontal="right"/>
    </xf>
    <xf numFmtId="0" fontId="0" fillId="0" borderId="3" xfId="0" applyBorder="1" applyAlignment="1" applyProtection="1">
      <alignment horizontal="right" vertical="center"/>
    </xf>
    <xf numFmtId="0" fontId="6" fillId="0" borderId="31" xfId="0" quotePrefix="1" applyFont="1" applyBorder="1"/>
    <xf numFmtId="0" fontId="6" fillId="8" borderId="29" xfId="0" applyFont="1" applyFill="1" applyBorder="1"/>
    <xf numFmtId="0" fontId="0" fillId="0" borderId="0" xfId="0" applyAlignment="1" applyProtection="1">
      <alignment horizontal="left" vertical="center"/>
    </xf>
    <xf numFmtId="0" fontId="7" fillId="0" borderId="18" xfId="0" applyFont="1" applyBorder="1" applyAlignment="1" applyProtection="1">
      <alignment vertical="center"/>
    </xf>
    <xf numFmtId="0" fontId="7" fillId="0" borderId="16" xfId="0" applyFont="1" applyBorder="1" applyAlignment="1" applyProtection="1">
      <alignment vertical="center"/>
    </xf>
    <xf numFmtId="0" fontId="7" fillId="0" borderId="3" xfId="0" applyFont="1" applyFill="1" applyBorder="1" applyAlignment="1" applyProtection="1">
      <alignment horizontal="right" wrapText="1"/>
    </xf>
    <xf numFmtId="0" fontId="7" fillId="0" borderId="0" xfId="0" applyFont="1" applyFill="1" applyBorder="1" applyAlignment="1" applyProtection="1">
      <alignment horizontal="right"/>
    </xf>
    <xf numFmtId="0" fontId="7" fillId="0" borderId="0" xfId="0" applyFont="1" applyFill="1" applyBorder="1" applyAlignment="1" applyProtection="1"/>
    <xf numFmtId="0" fontId="7" fillId="0" borderId="0" xfId="0" applyFont="1" applyFill="1" applyBorder="1" applyAlignment="1" applyProtection="1">
      <alignment horizontal="left" vertical="center"/>
    </xf>
    <xf numFmtId="3"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0" fontId="7" fillId="0" borderId="1" xfId="0" applyFont="1" applyFill="1" applyBorder="1" applyAlignment="1" applyProtection="1">
      <alignment horizontal="right" vertical="center" wrapText="1"/>
    </xf>
    <xf numFmtId="0" fontId="0" fillId="0" borderId="1" xfId="0" applyFill="1" applyBorder="1" applyAlignment="1" applyProtection="1"/>
    <xf numFmtId="0" fontId="0" fillId="0" borderId="18" xfId="0" quotePrefix="1" applyFill="1" applyBorder="1"/>
    <xf numFmtId="9" fontId="6" fillId="0" borderId="16" xfId="0" applyNumberFormat="1" applyFont="1" applyBorder="1" applyAlignment="1">
      <alignment horizontal="right"/>
    </xf>
    <xf numFmtId="9" fontId="6" fillId="0" borderId="6" xfId="0" applyNumberFormat="1" applyFont="1" applyBorder="1" applyAlignment="1">
      <alignment horizontal="right"/>
    </xf>
    <xf numFmtId="0" fontId="0" fillId="0" borderId="0" xfId="0" applyAlignment="1">
      <alignment horizontal="right" vertical="center"/>
    </xf>
    <xf numFmtId="0" fontId="0" fillId="0" borderId="0" xfId="0" applyAlignment="1">
      <alignment vertical="center"/>
    </xf>
    <xf numFmtId="0" fontId="17" fillId="0" borderId="0" xfId="0" applyFont="1" applyBorder="1" applyAlignment="1" applyProtection="1"/>
    <xf numFmtId="0" fontId="7" fillId="0" borderId="0" xfId="0" applyFont="1" applyFill="1" applyBorder="1" applyAlignment="1" applyProtection="1">
      <alignment horizontal="right" vertical="center" wrapText="1"/>
    </xf>
    <xf numFmtId="0" fontId="0" fillId="0" borderId="0" xfId="0" applyFill="1" applyProtection="1"/>
    <xf numFmtId="0" fontId="7" fillId="0" borderId="0" xfId="0" applyFont="1" applyBorder="1" applyAlignment="1" applyProtection="1">
      <alignment horizontal="right" vertical="center"/>
    </xf>
    <xf numFmtId="0" fontId="0" fillId="0" borderId="3" xfId="0" applyBorder="1" applyAlignment="1" applyProtection="1"/>
    <xf numFmtId="0" fontId="0" fillId="0" borderId="0" xfId="0" applyBorder="1" applyAlignment="1" applyProtection="1">
      <alignment horizontal="right" vertical="center"/>
    </xf>
    <xf numFmtId="0" fontId="10" fillId="0" borderId="14" xfId="0" applyFont="1" applyFill="1" applyBorder="1" applyAlignment="1" applyProtection="1">
      <alignment horizontal="center" vertical="center"/>
    </xf>
    <xf numFmtId="0" fontId="0" fillId="0" borderId="0" xfId="0" applyBorder="1" applyAlignment="1">
      <alignment wrapText="1"/>
    </xf>
    <xf numFmtId="0" fontId="0" fillId="0" borderId="1" xfId="0" applyBorder="1" applyAlignment="1" applyProtection="1"/>
    <xf numFmtId="0" fontId="0" fillId="0" borderId="0" xfId="0" applyAlignment="1">
      <alignment horizontal="center" vertical="center"/>
    </xf>
    <xf numFmtId="0" fontId="0" fillId="0" borderId="15" xfId="0" applyBorder="1" applyAlignment="1" applyProtection="1">
      <alignment horizontal="center"/>
    </xf>
    <xf numFmtId="0" fontId="6" fillId="0" borderId="14" xfId="0" applyFont="1" applyBorder="1"/>
    <xf numFmtId="0" fontId="0" fillId="0" borderId="14" xfId="0" applyBorder="1"/>
    <xf numFmtId="0" fontId="9" fillId="0" borderId="14" xfId="0" applyFont="1" applyBorder="1" applyAlignment="1" applyProtection="1">
      <alignment horizontal="right" vertical="center" indent="1"/>
    </xf>
    <xf numFmtId="0" fontId="0" fillId="0" borderId="18" xfId="0" applyBorder="1" applyAlignment="1" applyProtection="1"/>
    <xf numFmtId="0" fontId="9" fillId="0" borderId="3" xfId="0" applyFont="1" applyBorder="1" applyAlignment="1" applyProtection="1">
      <alignment horizontal="center" vertical="center"/>
    </xf>
    <xf numFmtId="0" fontId="0" fillId="0" borderId="5" xfId="0" applyBorder="1" applyAlignment="1" applyProtection="1"/>
    <xf numFmtId="0" fontId="9" fillId="15" borderId="31" xfId="0" applyFont="1" applyFill="1" applyBorder="1" applyAlignment="1">
      <alignment horizontal="center"/>
    </xf>
    <xf numFmtId="0" fontId="17" fillId="0" borderId="0" xfId="0" applyFont="1" applyBorder="1" applyAlignment="1" applyProtection="1"/>
    <xf numFmtId="0" fontId="6" fillId="3" borderId="13" xfId="0" applyFont="1" applyFill="1" applyBorder="1" applyAlignment="1" applyProtection="1"/>
    <xf numFmtId="0" fontId="6" fillId="0" borderId="0" xfId="0" applyFont="1" applyAlignment="1">
      <alignment horizontal="right" vertical="center"/>
    </xf>
    <xf numFmtId="0" fontId="0" fillId="0" borderId="14" xfId="0" applyNumberFormat="1" applyFill="1" applyBorder="1" applyAlignment="1" applyProtection="1">
      <alignment horizontal="center" vertical="center"/>
    </xf>
    <xf numFmtId="0" fontId="16" fillId="0" borderId="29" xfId="0" applyFont="1" applyBorder="1" applyProtection="1"/>
    <xf numFmtId="0" fontId="0" fillId="0" borderId="0" xfId="0" applyBorder="1" applyAlignment="1">
      <alignment horizontal="center"/>
    </xf>
    <xf numFmtId="0" fontId="6" fillId="0" borderId="0" xfId="0" applyFont="1" applyFill="1" applyBorder="1" applyAlignment="1"/>
    <xf numFmtId="0" fontId="0" fillId="0" borderId="0" xfId="0" applyAlignment="1">
      <alignment horizontal="center"/>
    </xf>
    <xf numFmtId="49" fontId="6" fillId="7" borderId="14" xfId="0" applyNumberFormat="1" applyFont="1" applyFill="1" applyBorder="1" applyAlignment="1" applyProtection="1">
      <alignment horizontal="center" vertical="center" wrapText="1"/>
      <protection locked="0"/>
    </xf>
    <xf numFmtId="0" fontId="28" fillId="0" borderId="44" xfId="5" applyFont="1" applyFill="1" applyBorder="1" applyAlignment="1">
      <alignment horizontal="right" wrapText="1"/>
    </xf>
    <xf numFmtId="49" fontId="7" fillId="7" borderId="14" xfId="0" applyNumberFormat="1" applyFont="1" applyFill="1" applyBorder="1" applyAlignment="1" applyProtection="1">
      <alignment horizontal="center" vertical="center"/>
      <protection locked="0"/>
    </xf>
    <xf numFmtId="0" fontId="28" fillId="0" borderId="45" xfId="5" applyFont="1" applyFill="1" applyBorder="1" applyAlignment="1">
      <alignment horizontal="right" wrapText="1"/>
    </xf>
    <xf numFmtId="0" fontId="28" fillId="0" borderId="46" xfId="5" applyFont="1" applyFill="1" applyBorder="1" applyAlignment="1">
      <alignment horizontal="right" wrapText="1"/>
    </xf>
    <xf numFmtId="0" fontId="28" fillId="0" borderId="47" xfId="5" applyFont="1" applyFill="1" applyBorder="1" applyAlignment="1">
      <alignment horizontal="right" wrapText="1"/>
    </xf>
    <xf numFmtId="0" fontId="29" fillId="0" borderId="47" xfId="5" applyFont="1" applyFill="1" applyBorder="1" applyAlignment="1">
      <alignment horizontal="right" wrapText="1"/>
    </xf>
    <xf numFmtId="0" fontId="32" fillId="16" borderId="48" xfId="5" applyFont="1" applyFill="1" applyBorder="1" applyAlignment="1">
      <alignment wrapText="1"/>
    </xf>
    <xf numFmtId="0" fontId="32" fillId="16" borderId="49" xfId="5" applyFont="1" applyFill="1" applyBorder="1" applyAlignment="1">
      <alignment horizontal="right" wrapText="1"/>
    </xf>
    <xf numFmtId="0" fontId="32" fillId="16" borderId="50" xfId="5" applyFont="1" applyFill="1" applyBorder="1" applyAlignment="1">
      <alignment wrapText="1"/>
    </xf>
    <xf numFmtId="0" fontId="28" fillId="0" borderId="51" xfId="5" applyFont="1" applyFill="1" applyBorder="1" applyAlignment="1">
      <alignment wrapText="1"/>
    </xf>
    <xf numFmtId="0" fontId="28" fillId="0" borderId="52" xfId="5" applyFont="1" applyFill="1" applyBorder="1" applyAlignment="1">
      <alignment wrapText="1"/>
    </xf>
    <xf numFmtId="0" fontId="28" fillId="0" borderId="53" xfId="5" applyFont="1" applyFill="1" applyBorder="1" applyAlignment="1">
      <alignment wrapText="1"/>
    </xf>
    <xf numFmtId="0" fontId="28" fillId="0" borderId="54" xfId="5" applyFont="1" applyFill="1" applyBorder="1" applyAlignment="1">
      <alignment horizontal="right" wrapText="1"/>
    </xf>
    <xf numFmtId="0" fontId="28" fillId="0" borderId="55" xfId="5" applyFont="1" applyFill="1" applyBorder="1" applyAlignment="1">
      <alignment wrapText="1"/>
    </xf>
    <xf numFmtId="0" fontId="0" fillId="0" borderId="4" xfId="0" applyFill="1" applyBorder="1" applyAlignment="1" applyProtection="1">
      <alignment horizontal="center" vertical="center"/>
    </xf>
    <xf numFmtId="0" fontId="0" fillId="0" borderId="0" xfId="0" applyAlignment="1">
      <alignment horizontal="right" vertical="center"/>
    </xf>
    <xf numFmtId="0" fontId="0" fillId="0" borderId="0" xfId="0" applyAlignment="1">
      <alignment vertical="center"/>
    </xf>
    <xf numFmtId="0" fontId="6" fillId="0" borderId="0" xfId="7"/>
    <xf numFmtId="0" fontId="9" fillId="0" borderId="0" xfId="7" applyFont="1"/>
    <xf numFmtId="0" fontId="28" fillId="10" borderId="44" xfId="5" applyFont="1" applyFill="1" applyBorder="1" applyAlignment="1">
      <alignment horizontal="right" wrapText="1"/>
    </xf>
    <xf numFmtId="0" fontId="28" fillId="12" borderId="44" xfId="5" applyFont="1" applyFill="1" applyBorder="1" applyAlignment="1">
      <alignment horizontal="right" wrapText="1"/>
    </xf>
    <xf numFmtId="0" fontId="28" fillId="9" borderId="44" xfId="5" applyFont="1" applyFill="1" applyBorder="1" applyAlignment="1">
      <alignment horizontal="right" wrapText="1"/>
    </xf>
    <xf numFmtId="0" fontId="28" fillId="0" borderId="0" xfId="5" applyFont="1" applyFill="1" applyBorder="1" applyAlignment="1">
      <alignment horizontal="right" wrapText="1"/>
    </xf>
    <xf numFmtId="0" fontId="28" fillId="0" borderId="19" xfId="5" applyFont="1" applyFill="1" applyBorder="1" applyAlignment="1">
      <alignment wrapText="1"/>
    </xf>
    <xf numFmtId="0" fontId="6" fillId="0" borderId="0" xfId="7" applyAlignment="1">
      <alignment horizontal="right"/>
    </xf>
    <xf numFmtId="0" fontId="7" fillId="0" borderId="3" xfId="0" applyFont="1" applyFill="1" applyBorder="1" applyAlignment="1" applyProtection="1">
      <alignment horizontal="right" vertical="center" wrapText="1"/>
    </xf>
    <xf numFmtId="0" fontId="17" fillId="0" borderId="0" xfId="0" applyFont="1" applyBorder="1" applyAlignment="1" applyProtection="1"/>
    <xf numFmtId="0" fontId="6" fillId="8" borderId="14" xfId="0" applyNumberFormat="1" applyFont="1" applyFill="1" applyBorder="1" applyAlignment="1" applyProtection="1">
      <alignment horizontal="center" vertical="center"/>
      <protection locked="0"/>
    </xf>
    <xf numFmtId="0" fontId="6" fillId="12" borderId="14" xfId="0" applyFont="1" applyFill="1" applyBorder="1"/>
    <xf numFmtId="49" fontId="6" fillId="0" borderId="14"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8" borderId="14" xfId="0" applyFont="1" applyFill="1" applyBorder="1" applyAlignment="1" applyProtection="1">
      <alignment horizontal="center" vertical="center"/>
      <protection locked="0"/>
    </xf>
    <xf numFmtId="0" fontId="16" fillId="0" borderId="30" xfId="0" applyFont="1" applyBorder="1" applyAlignment="1" applyProtection="1">
      <alignment wrapText="1"/>
    </xf>
    <xf numFmtId="0" fontId="6" fillId="3" borderId="17" xfId="0" applyFont="1" applyFill="1" applyBorder="1" applyAlignment="1" applyProtection="1"/>
    <xf numFmtId="0" fontId="9" fillId="0" borderId="0" xfId="0" applyFont="1" applyBorder="1" applyAlignment="1">
      <alignment horizontal="right"/>
    </xf>
    <xf numFmtId="0" fontId="0" fillId="0" borderId="31" xfId="0" applyBorder="1"/>
    <xf numFmtId="0" fontId="6" fillId="3" borderId="17" xfId="0" applyFont="1" applyFill="1" applyBorder="1" applyAlignment="1" applyProtection="1">
      <alignment horizontal="right"/>
    </xf>
    <xf numFmtId="0" fontId="27" fillId="0" borderId="14" xfId="0" applyNumberFormat="1" applyFont="1" applyFill="1" applyBorder="1" applyAlignment="1" applyProtection="1">
      <alignment horizontal="center" vertical="center" wrapText="1"/>
    </xf>
    <xf numFmtId="0" fontId="28" fillId="0" borderId="14" xfId="5" quotePrefix="1" applyFont="1" applyFill="1" applyBorder="1" applyAlignment="1">
      <alignment horizontal="center" wrapText="1"/>
    </xf>
    <xf numFmtId="49" fontId="0" fillId="8" borderId="14" xfId="0" applyNumberFormat="1" applyFill="1" applyBorder="1" applyAlignment="1" applyProtection="1">
      <alignment horizontal="right" vertical="center"/>
      <protection locked="0"/>
    </xf>
    <xf numFmtId="49" fontId="6" fillId="0" borderId="14" xfId="0" quotePrefix="1" applyNumberFormat="1" applyFont="1" applyFill="1" applyBorder="1" applyAlignment="1" applyProtection="1">
      <alignment horizontal="right" vertical="center"/>
    </xf>
    <xf numFmtId="0" fontId="0" fillId="0" borderId="0" xfId="0" applyBorder="1" applyAlignment="1"/>
    <xf numFmtId="0" fontId="9" fillId="0" borderId="0" xfId="0" applyFont="1" applyBorder="1" applyAlignment="1">
      <alignment horizontal="center" vertical="center"/>
    </xf>
    <xf numFmtId="0" fontId="0" fillId="0" borderId="0" xfId="0" applyBorder="1" applyAlignment="1" applyProtection="1"/>
    <xf numFmtId="0" fontId="9" fillId="0" borderId="0" xfId="0" applyFont="1" applyBorder="1" applyAlignment="1" applyProtection="1">
      <alignment horizontal="right" vertical="center" indent="1"/>
    </xf>
    <xf numFmtId="0" fontId="11" fillId="0" borderId="0" xfId="0" applyFont="1" applyBorder="1" applyAlignment="1" applyProtection="1">
      <alignment horizontal="center"/>
    </xf>
    <xf numFmtId="0" fontId="9" fillId="15" borderId="14" xfId="0" applyFont="1" applyFill="1" applyBorder="1" applyAlignment="1">
      <alignment horizontal="center" vertical="center"/>
    </xf>
    <xf numFmtId="0" fontId="0" fillId="0" borderId="15" xfId="0" applyBorder="1" applyAlignment="1" applyProtection="1"/>
    <xf numFmtId="0" fontId="7" fillId="0" borderId="0" xfId="0" applyFont="1" applyFill="1" applyBorder="1" applyAlignment="1" applyProtection="1">
      <alignment horizontal="right" vertical="center" wrapText="1"/>
    </xf>
    <xf numFmtId="0" fontId="0" fillId="0" borderId="4" xfId="0" applyBorder="1" applyAlignment="1">
      <alignment horizontal="right" vertical="center"/>
    </xf>
    <xf numFmtId="0" fontId="7" fillId="0" borderId="0" xfId="0" applyFont="1" applyFill="1" applyBorder="1" applyAlignment="1" applyProtection="1">
      <alignment horizontal="center" wrapText="1"/>
    </xf>
    <xf numFmtId="166" fontId="6" fillId="8" borderId="14" xfId="0" applyNumberFormat="1" applyFont="1" applyFill="1" applyBorder="1" applyAlignment="1" applyProtection="1">
      <alignment horizontal="right" vertical="center" wrapText="1" indent="1"/>
      <protection locked="0"/>
    </xf>
    <xf numFmtId="0" fontId="0" fillId="0" borderId="4" xfId="0" applyFill="1" applyBorder="1" applyAlignment="1" applyProtection="1"/>
    <xf numFmtId="0" fontId="7" fillId="0" borderId="4" xfId="0" applyFont="1" applyFill="1" applyBorder="1" applyAlignment="1" applyProtection="1">
      <alignment horizontal="center" wrapText="1"/>
    </xf>
    <xf numFmtId="0" fontId="0" fillId="17" borderId="13" xfId="0" applyFill="1" applyBorder="1"/>
    <xf numFmtId="0" fontId="0" fillId="17" borderId="17" xfId="0" applyFill="1" applyBorder="1"/>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1" xfId="0" applyBorder="1" applyAlignment="1" applyProtection="1">
      <alignment vertical="center" wrapText="1"/>
    </xf>
    <xf numFmtId="0" fontId="0" fillId="0" borderId="6" xfId="0" applyBorder="1" applyAlignment="1" applyProtection="1">
      <alignment vertical="center" wrapText="1"/>
    </xf>
    <xf numFmtId="0" fontId="0" fillId="8" borderId="14" xfId="0" applyFill="1" applyBorder="1" applyAlignment="1" applyProtection="1">
      <alignment horizontal="center" vertical="center" wrapText="1"/>
      <protection locked="0"/>
    </xf>
    <xf numFmtId="0" fontId="6" fillId="8" borderId="14" xfId="0" applyFont="1" applyFill="1" applyBorder="1" applyAlignment="1" applyProtection="1">
      <alignment horizontal="center" vertical="center" wrapText="1"/>
      <protection locked="0"/>
    </xf>
    <xf numFmtId="49" fontId="6" fillId="8" borderId="14" xfId="0" applyNumberFormat="1" applyFont="1" applyFill="1" applyBorder="1" applyAlignment="1" applyProtection="1">
      <alignment horizontal="center" vertical="center" wrapText="1"/>
      <protection locked="0"/>
    </xf>
    <xf numFmtId="0" fontId="6" fillId="2" borderId="29" xfId="0" applyFont="1" applyFill="1" applyBorder="1"/>
    <xf numFmtId="0" fontId="0" fillId="0" borderId="30" xfId="0" applyBorder="1"/>
    <xf numFmtId="0" fontId="6" fillId="3" borderId="12" xfId="0" applyFont="1" applyFill="1" applyBorder="1" applyAlignment="1" applyProtection="1">
      <alignment horizontal="right"/>
    </xf>
    <xf numFmtId="0" fontId="0" fillId="0" borderId="0" xfId="0" applyBorder="1"/>
    <xf numFmtId="0" fontId="0" fillId="0" borderId="4" xfId="0" applyBorder="1"/>
    <xf numFmtId="0" fontId="0" fillId="0" borderId="1" xfId="0" applyBorder="1"/>
    <xf numFmtId="0" fontId="0" fillId="0" borderId="0" xfId="0" applyProtection="1"/>
    <xf numFmtId="0" fontId="0" fillId="0" borderId="0" xfId="0"/>
    <xf numFmtId="0" fontId="0" fillId="0" borderId="3" xfId="0" applyBorder="1"/>
    <xf numFmtId="49" fontId="6" fillId="7" borderId="14" xfId="0" applyNumberFormat="1" applyFont="1" applyFill="1" applyBorder="1" applyAlignment="1" applyProtection="1">
      <alignment horizontal="right" vertical="center" wrapText="1"/>
      <protection locked="0"/>
    </xf>
    <xf numFmtId="0" fontId="9" fillId="0" borderId="0" xfId="0" applyFont="1" applyBorder="1" applyAlignment="1" applyProtection="1">
      <alignment horizontal="right" vertical="center"/>
    </xf>
    <xf numFmtId="0" fontId="0" fillId="0" borderId="0" xfId="0" applyBorder="1" applyAlignment="1"/>
    <xf numFmtId="0" fontId="11" fillId="0" borderId="0" xfId="0" applyFont="1" applyBorder="1" applyAlignment="1" applyProtection="1">
      <alignment horizontal="center"/>
    </xf>
    <xf numFmtId="0" fontId="9" fillId="0" borderId="0" xfId="0" applyFont="1" applyBorder="1" applyAlignment="1" applyProtection="1">
      <alignment horizontal="right" vertical="center" indent="1"/>
    </xf>
    <xf numFmtId="0" fontId="9" fillId="0" borderId="0" xfId="0" applyFont="1" applyBorder="1" applyAlignment="1" applyProtection="1">
      <alignment horizontal="right" vertical="center"/>
    </xf>
    <xf numFmtId="0" fontId="0" fillId="0" borderId="0" xfId="0" applyBorder="1" applyAlignment="1" applyProtection="1"/>
    <xf numFmtId="0" fontId="6" fillId="0" borderId="14" xfId="0" applyFont="1" applyFill="1" applyBorder="1" applyAlignment="1" applyProtection="1">
      <alignment horizontal="center" vertical="center"/>
    </xf>
    <xf numFmtId="0" fontId="6" fillId="0" borderId="0" xfId="0" applyFont="1" applyBorder="1" applyAlignment="1">
      <alignment horizontal="center" vertical="center"/>
    </xf>
    <xf numFmtId="0" fontId="27" fillId="0" borderId="3" xfId="0" applyFont="1" applyBorder="1" applyAlignment="1" applyProtection="1">
      <alignment horizontal="center" vertical="center"/>
    </xf>
    <xf numFmtId="0" fontId="27" fillId="0" borderId="0" xfId="0" applyFont="1" applyBorder="1" applyAlignment="1" applyProtection="1">
      <alignment horizontal="center" vertical="center"/>
    </xf>
    <xf numFmtId="0" fontId="6" fillId="0" borderId="14" xfId="0" applyNumberFormat="1" applyFont="1" applyBorder="1" applyAlignment="1" applyProtection="1">
      <alignment horizontal="center" vertical="center"/>
    </xf>
    <xf numFmtId="0" fontId="6" fillId="0" borderId="14" xfId="0" applyNumberFormat="1" applyFont="1" applyBorder="1" applyAlignment="1" applyProtection="1">
      <alignment horizontal="center"/>
    </xf>
    <xf numFmtId="0" fontId="10" fillId="0" borderId="3" xfId="0" applyFont="1" applyFill="1" applyBorder="1" applyAlignment="1" applyProtection="1">
      <alignment horizontal="center"/>
    </xf>
    <xf numFmtId="0" fontId="0" fillId="0" borderId="0" xfId="0" applyAlignment="1" applyProtection="1">
      <alignment horizontal="center" vertical="center"/>
    </xf>
    <xf numFmtId="0" fontId="0" fillId="5" borderId="14" xfId="0" applyFill="1" applyBorder="1" applyAlignment="1">
      <alignment horizontal="center"/>
    </xf>
    <xf numFmtId="0" fontId="0" fillId="0" borderId="0" xfId="0" applyBorder="1" applyAlignment="1" applyProtection="1">
      <alignment wrapText="1"/>
    </xf>
    <xf numFmtId="0" fontId="0" fillId="0" borderId="4" xfId="0" applyFill="1" applyBorder="1"/>
    <xf numFmtId="0" fontId="0" fillId="0" borderId="6" xfId="0" applyFill="1" applyBorder="1"/>
    <xf numFmtId="0" fontId="0" fillId="19" borderId="14" xfId="0" applyFill="1" applyBorder="1"/>
    <xf numFmtId="0" fontId="0" fillId="7" borderId="14" xfId="0" applyFill="1" applyBorder="1" applyAlignment="1" applyProtection="1">
      <alignment horizontal="left" vertical="center"/>
      <protection locked="0"/>
    </xf>
    <xf numFmtId="0" fontId="0" fillId="7" borderId="11" xfId="0" applyFill="1" applyBorder="1" applyAlignment="1" applyProtection="1">
      <alignment horizontal="right" vertical="center"/>
      <protection locked="0"/>
    </xf>
    <xf numFmtId="0" fontId="0" fillId="7" borderId="38" xfId="0" applyFill="1" applyBorder="1" applyAlignment="1" applyProtection="1">
      <alignment horizontal="right" vertical="center"/>
      <protection locked="0"/>
    </xf>
    <xf numFmtId="0" fontId="6" fillId="0" borderId="14" xfId="0" applyFont="1" applyBorder="1" applyAlignment="1" applyProtection="1">
      <alignment horizontal="center" vertical="center"/>
    </xf>
    <xf numFmtId="0" fontId="7" fillId="0" borderId="3" xfId="0" applyFont="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0" fillId="0" borderId="14" xfId="0" applyBorder="1" applyProtection="1"/>
    <xf numFmtId="0" fontId="6" fillId="0" borderId="14" xfId="0" applyFont="1" applyFill="1" applyBorder="1" applyAlignment="1" applyProtection="1">
      <alignment horizontal="center" vertical="center" wrapText="1" shrinkToFit="1"/>
    </xf>
    <xf numFmtId="0" fontId="0" fillId="0" borderId="1" xfId="0" applyBorder="1" applyAlignment="1"/>
    <xf numFmtId="0" fontId="0" fillId="3" borderId="15" xfId="0" applyFill="1" applyBorder="1" applyAlignment="1"/>
    <xf numFmtId="0" fontId="6" fillId="8" borderId="14" xfId="0" quotePrefix="1" applyNumberFormat="1" applyFont="1" applyFill="1" applyBorder="1" applyAlignment="1" applyProtection="1">
      <alignment horizontal="center" vertical="center"/>
      <protection locked="0"/>
    </xf>
    <xf numFmtId="0" fontId="6" fillId="0" borderId="18" xfId="0" quotePrefix="1" applyNumberFormat="1" applyFont="1" applyFill="1" applyBorder="1" applyAlignment="1" applyProtection="1">
      <alignment horizontal="center" vertical="center"/>
    </xf>
    <xf numFmtId="0" fontId="6" fillId="0" borderId="15" xfId="0" quotePrefix="1"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49" fontId="7" fillId="0" borderId="15" xfId="0" applyNumberFormat="1"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xf>
    <xf numFmtId="0" fontId="6" fillId="0" borderId="5" xfId="0" quotePrefix="1" applyNumberFormat="1" applyFont="1" applyFill="1" applyBorder="1" applyAlignment="1" applyProtection="1">
      <alignment horizontal="center" vertical="center"/>
    </xf>
    <xf numFmtId="0" fontId="6" fillId="0" borderId="1" xfId="0" quotePrefix="1"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6" fillId="7" borderId="12" xfId="0" applyFont="1" applyFill="1" applyBorder="1" applyAlignment="1" applyProtection="1">
      <alignment horizontal="center" vertical="center"/>
      <protection locked="0"/>
    </xf>
    <xf numFmtId="0" fontId="11" fillId="0" borderId="0" xfId="0" applyFont="1" applyBorder="1" applyAlignment="1" applyProtection="1">
      <alignment horizontal="center"/>
    </xf>
    <xf numFmtId="0" fontId="9" fillId="0" borderId="0" xfId="0" applyFont="1" applyBorder="1" applyAlignment="1" applyProtection="1">
      <alignment horizontal="right" vertical="center" indent="1"/>
    </xf>
    <xf numFmtId="0" fontId="0" fillId="7" borderId="14" xfId="0" applyFill="1" applyBorder="1" applyAlignment="1" applyProtection="1">
      <alignment horizontal="right" vertical="center"/>
      <protection locked="0"/>
    </xf>
    <xf numFmtId="0" fontId="6" fillId="8" borderId="14" xfId="0" applyFont="1" applyFill="1" applyBorder="1" applyAlignment="1" applyProtection="1">
      <alignment horizontal="center" vertical="center"/>
      <protection locked="0"/>
    </xf>
    <xf numFmtId="0" fontId="7" fillId="0" borderId="0" xfId="0" applyFont="1"/>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3" xfId="0" applyFont="1" applyFill="1" applyBorder="1" applyAlignment="1" applyProtection="1">
      <alignment horizontal="right" wrapText="1"/>
    </xf>
    <xf numFmtId="0" fontId="0" fillId="0" borderId="4" xfId="0" applyFill="1" applyBorder="1" applyAlignment="1" applyProtection="1">
      <alignment horizontal="center"/>
    </xf>
    <xf numFmtId="0" fontId="7" fillId="0" borderId="14" xfId="0" applyFont="1" applyBorder="1" applyAlignment="1">
      <alignment wrapText="1"/>
    </xf>
    <xf numFmtId="0" fontId="7" fillId="0" borderId="14" xfId="0" applyFont="1" applyBorder="1" applyAlignment="1">
      <alignment horizontal="right" vertical="center" wrapText="1"/>
    </xf>
    <xf numFmtId="0" fontId="7" fillId="0" borderId="14" xfId="0" applyFont="1" applyBorder="1" applyAlignment="1">
      <alignment vertical="top" wrapText="1"/>
    </xf>
    <xf numFmtId="0" fontId="7" fillId="21" borderId="14" xfId="0" applyFont="1" applyFill="1" applyBorder="1" applyAlignment="1">
      <alignment horizontal="center" wrapText="1"/>
    </xf>
    <xf numFmtId="0" fontId="7" fillId="0" borderId="3" xfId="0" applyFont="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9" fillId="0" borderId="0" xfId="0" applyFont="1" applyBorder="1" applyAlignment="1" applyProtection="1">
      <alignment horizontal="right" vertical="center"/>
    </xf>
    <xf numFmtId="0" fontId="0" fillId="0" borderId="14" xfId="0" applyBorder="1" applyAlignment="1">
      <alignment vertical="center"/>
    </xf>
    <xf numFmtId="0" fontId="0" fillId="5" borderId="3" xfId="0" applyFill="1" applyBorder="1" applyAlignment="1">
      <alignment horizontal="center"/>
    </xf>
    <xf numFmtId="0" fontId="32" fillId="16" borderId="63" xfId="5" applyFont="1" applyFill="1" applyBorder="1" applyAlignment="1">
      <alignment wrapText="1"/>
    </xf>
    <xf numFmtId="0" fontId="32" fillId="16" borderId="64" xfId="5" applyFont="1" applyFill="1" applyBorder="1" applyAlignment="1">
      <alignment horizontal="right" wrapText="1"/>
    </xf>
    <xf numFmtId="0" fontId="32" fillId="16" borderId="65" xfId="5" applyFont="1" applyFill="1" applyBorder="1" applyAlignment="1">
      <alignment wrapText="1"/>
    </xf>
    <xf numFmtId="0" fontId="29" fillId="18" borderId="14" xfId="5" applyFont="1" applyFill="1" applyBorder="1" applyAlignment="1">
      <alignment horizontal="center"/>
    </xf>
    <xf numFmtId="0" fontId="28" fillId="13" borderId="44" xfId="5" quotePrefix="1" applyFont="1" applyFill="1" applyBorder="1" applyAlignment="1">
      <alignment horizontal="right" wrapText="1"/>
    </xf>
    <xf numFmtId="0" fontId="28" fillId="0" borderId="26" xfId="5" applyFont="1" applyFill="1" applyBorder="1" applyAlignment="1">
      <alignment wrapText="1"/>
    </xf>
    <xf numFmtId="0" fontId="6" fillId="0" borderId="24" xfId="7" applyBorder="1"/>
    <xf numFmtId="0" fontId="7" fillId="0" borderId="0" xfId="0" applyFont="1" applyFill="1" applyBorder="1" applyAlignment="1" applyProtection="1">
      <alignment horizontal="right" vertical="center" wrapText="1"/>
    </xf>
    <xf numFmtId="0" fontId="0" fillId="0" borderId="0" xfId="0" applyBorder="1" applyAlignment="1">
      <alignment horizontal="right" vertical="center"/>
    </xf>
    <xf numFmtId="0" fontId="0" fillId="0" borderId="0" xfId="0" applyBorder="1" applyAlignment="1"/>
    <xf numFmtId="0" fontId="0" fillId="19" borderId="14" xfId="0" quotePrefix="1" applyFill="1" applyBorder="1"/>
    <xf numFmtId="0" fontId="6" fillId="7" borderId="31" xfId="0" applyNumberFormat="1" applyFont="1" applyFill="1" applyBorder="1" applyAlignment="1" applyProtection="1">
      <alignment horizontal="center" vertical="center"/>
      <protection locked="0"/>
    </xf>
    <xf numFmtId="0" fontId="6" fillId="7" borderId="62" xfId="0" applyFont="1" applyFill="1" applyBorder="1" applyAlignment="1" applyProtection="1">
      <alignment horizontal="center" vertical="center"/>
      <protection locked="0"/>
    </xf>
    <xf numFmtId="0" fontId="0" fillId="0" borderId="0" xfId="0" applyBorder="1" applyAlignment="1" applyProtection="1">
      <alignment horizontal="center" wrapText="1"/>
    </xf>
    <xf numFmtId="0" fontId="0" fillId="0" borderId="1" xfId="0" applyBorder="1" applyAlignment="1" applyProtection="1">
      <alignment horizontal="center" wrapText="1"/>
    </xf>
    <xf numFmtId="0" fontId="9" fillId="0" borderId="0" xfId="0" applyFont="1" applyBorder="1" applyAlignment="1" applyProtection="1">
      <alignment horizontal="center" vertical="center" wrapText="1"/>
    </xf>
    <xf numFmtId="0" fontId="0" fillId="0" borderId="0" xfId="0" applyBorder="1" applyAlignment="1">
      <alignment horizontal="right" vertical="center"/>
    </xf>
    <xf numFmtId="0" fontId="9" fillId="15" borderId="14"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vertical="center" wrapText="1"/>
    </xf>
    <xf numFmtId="0" fontId="9" fillId="0" borderId="0" xfId="0" applyFont="1" applyBorder="1" applyAlignment="1" applyProtection="1">
      <alignment horizontal="center" vertical="center" wrapText="1"/>
    </xf>
    <xf numFmtId="0" fontId="0" fillId="0" borderId="0" xfId="0" applyBorder="1" applyAlignment="1">
      <alignment horizontal="right" vertical="center"/>
    </xf>
    <xf numFmtId="0" fontId="0" fillId="0" borderId="0" xfId="0" applyBorder="1" applyAlignment="1"/>
    <xf numFmtId="0" fontId="9" fillId="0" borderId="0" xfId="0" applyFont="1" applyBorder="1" applyAlignment="1">
      <alignment horizontal="center" vertical="center" wrapText="1"/>
    </xf>
    <xf numFmtId="9" fontId="0" fillId="0" borderId="0" xfId="0" applyNumberFormat="1" applyBorder="1" applyAlignment="1" applyProtection="1">
      <alignment wrapText="1"/>
    </xf>
    <xf numFmtId="9" fontId="6" fillId="0" borderId="0" xfId="0" applyNumberFormat="1" applyFont="1" applyBorder="1" applyAlignment="1" applyProtection="1">
      <alignment wrapText="1"/>
    </xf>
    <xf numFmtId="0" fontId="0" fillId="0" borderId="11" xfId="0" applyBorder="1" applyAlignment="1">
      <alignment horizontal="center" vertical="center" wrapText="1"/>
    </xf>
    <xf numFmtId="9" fontId="0" fillId="0" borderId="11" xfId="0" applyNumberFormat="1" applyBorder="1" applyAlignment="1" applyProtection="1">
      <alignment wrapText="1"/>
    </xf>
    <xf numFmtId="9" fontId="6" fillId="0" borderId="11" xfId="0" applyNumberFormat="1" applyFont="1" applyBorder="1" applyAlignment="1" applyProtection="1">
      <alignment wrapText="1"/>
    </xf>
    <xf numFmtId="0" fontId="0" fillId="0" borderId="38" xfId="0" applyBorder="1" applyAlignment="1">
      <alignment wrapText="1"/>
    </xf>
    <xf numFmtId="0" fontId="0" fillId="7" borderId="14" xfId="0" applyFill="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8" xfId="0" applyFont="1" applyFill="1" applyBorder="1" applyAlignment="1" applyProtection="1">
      <alignment vertical="center"/>
    </xf>
    <xf numFmtId="0" fontId="6" fillId="0" borderId="15" xfId="0" applyFont="1" applyFill="1" applyBorder="1" applyAlignment="1" applyProtection="1">
      <alignment vertical="center"/>
    </xf>
    <xf numFmtId="0" fontId="9" fillId="0" borderId="10"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6" fillId="0" borderId="14" xfId="0" applyFont="1" applyFill="1" applyBorder="1" applyAlignment="1" applyProtection="1">
      <alignment vertical="center" wrapText="1"/>
    </xf>
    <xf numFmtId="9" fontId="0" fillId="0" borderId="11" xfId="0" applyNumberFormat="1" applyFill="1" applyBorder="1" applyAlignment="1" applyProtection="1">
      <alignment vertical="center" wrapText="1"/>
    </xf>
    <xf numFmtId="9" fontId="0" fillId="0" borderId="0" xfId="0" applyNumberFormat="1" applyFill="1" applyBorder="1" applyAlignment="1" applyProtection="1">
      <alignment vertical="center" wrapText="1"/>
    </xf>
    <xf numFmtId="0" fontId="0" fillId="0" borderId="0" xfId="0" applyFill="1" applyBorder="1" applyAlignment="1">
      <alignment vertical="center" wrapText="1"/>
    </xf>
    <xf numFmtId="0" fontId="0" fillId="0" borderId="0" xfId="0" applyFill="1" applyBorder="1" applyAlignment="1" applyProtection="1">
      <alignment vertical="center" wrapText="1"/>
    </xf>
    <xf numFmtId="0" fontId="0" fillId="0" borderId="0" xfId="0" applyFill="1" applyAlignment="1">
      <alignment vertical="center"/>
    </xf>
    <xf numFmtId="0" fontId="0" fillId="0" borderId="14" xfId="0" applyFill="1" applyBorder="1" applyAlignment="1" applyProtection="1">
      <alignment vertical="center"/>
    </xf>
    <xf numFmtId="0" fontId="0" fillId="0" borderId="14" xfId="0" applyFill="1" applyBorder="1" applyAlignment="1" applyProtection="1">
      <alignment horizontal="center" vertical="center"/>
    </xf>
    <xf numFmtId="0" fontId="7" fillId="0" borderId="0" xfId="0" applyFont="1" applyFill="1" applyProtection="1"/>
    <xf numFmtId="0" fontId="10" fillId="0" borderId="10" xfId="0" applyFont="1" applyFill="1" applyBorder="1" applyAlignment="1">
      <alignment horizontal="center"/>
    </xf>
    <xf numFmtId="0" fontId="10" fillId="0" borderId="14" xfId="0" applyFont="1" applyFill="1" applyBorder="1" applyAlignment="1">
      <alignment horizontal="center"/>
    </xf>
    <xf numFmtId="0" fontId="10" fillId="0" borderId="11" xfId="0" applyFont="1" applyFill="1" applyBorder="1" applyAlignment="1">
      <alignment horizontal="center"/>
    </xf>
    <xf numFmtId="49" fontId="31" fillId="7" borderId="14" xfId="0" applyNumberFormat="1" applyFont="1" applyFill="1" applyBorder="1" applyAlignment="1" applyProtection="1">
      <alignment horizontal="center" vertical="center"/>
      <protection locked="0"/>
    </xf>
    <xf numFmtId="0" fontId="6" fillId="7" borderId="14" xfId="0" applyFont="1" applyFill="1" applyBorder="1" applyAlignment="1" applyProtection="1">
      <alignment horizontal="left" vertical="center"/>
      <protection locked="0"/>
    </xf>
    <xf numFmtId="0" fontId="9" fillId="15" borderId="32" xfId="0"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9" fillId="0" borderId="0" xfId="0" applyFont="1" applyBorder="1" applyAlignment="1" applyProtection="1">
      <alignment horizontal="right" vertical="center" indent="1"/>
    </xf>
    <xf numFmtId="0" fontId="0" fillId="7" borderId="62" xfId="0" applyFill="1" applyBorder="1" applyAlignment="1" applyProtection="1">
      <alignment horizontal="right" vertical="center"/>
      <protection locked="0"/>
    </xf>
    <xf numFmtId="0" fontId="0" fillId="0" borderId="0" xfId="0" applyBorder="1" applyAlignment="1">
      <alignment horizontal="right" vertical="center"/>
    </xf>
    <xf numFmtId="0" fontId="0" fillId="0" borderId="0" xfId="0" applyBorder="1" applyAlignment="1"/>
    <xf numFmtId="0" fontId="11" fillId="0" borderId="0" xfId="0" applyFont="1" applyBorder="1" applyAlignment="1" applyProtection="1">
      <alignment horizontal="center"/>
    </xf>
    <xf numFmtId="0" fontId="9" fillId="15" borderId="18" xfId="0" applyFont="1" applyFill="1" applyBorder="1" applyAlignment="1">
      <alignment horizontal="center" vertical="center"/>
    </xf>
    <xf numFmtId="0" fontId="9" fillId="15" borderId="14" xfId="0" applyFont="1" applyFill="1" applyBorder="1" applyAlignment="1">
      <alignment horizontal="center" vertical="center"/>
    </xf>
    <xf numFmtId="0" fontId="0" fillId="0" borderId="0" xfId="0" applyFill="1" applyBorder="1" applyAlignment="1" applyProtection="1">
      <alignment horizontal="center" vertical="center"/>
    </xf>
    <xf numFmtId="0" fontId="0" fillId="0" borderId="15" xfId="0" applyBorder="1"/>
    <xf numFmtId="0" fontId="0" fillId="0" borderId="0" xfId="0"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11" fillId="0" borderId="15" xfId="0" applyFont="1" applyBorder="1" applyAlignment="1" applyProtection="1">
      <alignment horizontal="center"/>
    </xf>
    <xf numFmtId="0" fontId="0" fillId="0" borderId="15" xfId="0" applyBorder="1" applyAlignment="1" applyProtection="1"/>
    <xf numFmtId="0" fontId="0" fillId="7" borderId="31" xfId="0"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7" borderId="5" xfId="0" applyFill="1" applyBorder="1" applyAlignment="1" applyProtection="1">
      <alignment horizontal="right" vertical="center"/>
      <protection locked="0"/>
    </xf>
    <xf numFmtId="0" fontId="9" fillId="15" borderId="58" xfId="0" applyFont="1" applyFill="1" applyBorder="1" applyAlignment="1">
      <alignment horizontal="center"/>
    </xf>
    <xf numFmtId="0" fontId="9" fillId="15" borderId="59" xfId="0" applyFont="1" applyFill="1" applyBorder="1" applyAlignment="1">
      <alignment horizontal="center"/>
    </xf>
    <xf numFmtId="0" fontId="9" fillId="15" borderId="38" xfId="0" applyFont="1" applyFill="1" applyBorder="1" applyAlignment="1">
      <alignment horizontal="center"/>
    </xf>
    <xf numFmtId="0" fontId="0" fillId="7" borderId="36" xfId="0" applyFill="1" applyBorder="1" applyAlignment="1" applyProtection="1">
      <alignment horizontal="right" vertical="center"/>
      <protection locked="0"/>
    </xf>
    <xf numFmtId="0" fontId="6" fillId="7" borderId="6" xfId="0" applyFont="1" applyFill="1" applyBorder="1" applyAlignment="1" applyProtection="1">
      <alignment horizontal="center" vertical="center"/>
      <protection locked="0"/>
    </xf>
    <xf numFmtId="0" fontId="6" fillId="7" borderId="31" xfId="0" applyFont="1" applyFill="1" applyBorder="1" applyAlignment="1" applyProtection="1">
      <alignment horizontal="center"/>
      <protection locked="0"/>
    </xf>
    <xf numFmtId="0" fontId="6" fillId="0" borderId="31" xfId="0" quotePrefix="1" applyFont="1" applyFill="1" applyBorder="1" applyAlignment="1" applyProtection="1">
      <alignment horizontal="center"/>
    </xf>
    <xf numFmtId="0" fontId="9" fillId="15" borderId="58" xfId="0" applyFont="1" applyFill="1" applyBorder="1" applyAlignment="1">
      <alignment horizontal="center" vertical="center"/>
    </xf>
    <xf numFmtId="0" fontId="9" fillId="15" borderId="40" xfId="0" applyFont="1" applyFill="1" applyBorder="1" applyAlignment="1">
      <alignment horizontal="center" vertical="center"/>
    </xf>
    <xf numFmtId="0" fontId="0" fillId="8" borderId="31" xfId="0"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pplyProtection="1">
      <alignment horizontal="center" vertical="center"/>
      <protection locked="0"/>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9" fillId="0" borderId="3"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9" fillId="15" borderId="6" xfId="0" applyFont="1" applyFill="1" applyBorder="1" applyAlignment="1">
      <alignment horizontal="center"/>
    </xf>
    <xf numFmtId="0" fontId="9" fillId="15" borderId="33" xfId="0" applyFont="1" applyFill="1" applyBorder="1" applyAlignment="1">
      <alignment horizontal="center" vertical="center"/>
    </xf>
    <xf numFmtId="0" fontId="0" fillId="0" borderId="31" xfId="0" applyFill="1" applyBorder="1" applyAlignment="1" applyProtection="1">
      <alignment horizontal="center" vertical="center"/>
    </xf>
    <xf numFmtId="0" fontId="0" fillId="0" borderId="62" xfId="0" applyFill="1" applyBorder="1" applyAlignment="1" applyProtection="1">
      <alignment horizontal="right" vertical="center"/>
    </xf>
    <xf numFmtId="0" fontId="10" fillId="0" borderId="14" xfId="0" applyFont="1" applyBorder="1" applyAlignment="1" applyProtection="1">
      <alignment horizontal="center" vertical="center"/>
    </xf>
    <xf numFmtId="0" fontId="10" fillId="0" borderId="13" xfId="0"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0" fillId="0" borderId="29" xfId="0" applyFill="1" applyBorder="1" applyAlignment="1" applyProtection="1">
      <alignment horizontal="right" vertical="center"/>
    </xf>
    <xf numFmtId="0" fontId="0" fillId="7" borderId="29" xfId="0" applyFill="1" applyBorder="1" applyAlignment="1" applyProtection="1">
      <alignment horizontal="right" vertical="center"/>
      <protection locked="0"/>
    </xf>
    <xf numFmtId="0" fontId="0" fillId="7" borderId="67" xfId="0" applyFill="1" applyBorder="1" applyAlignment="1" applyProtection="1">
      <alignment horizontal="right" vertical="center"/>
      <protection locked="0"/>
    </xf>
    <xf numFmtId="0" fontId="0" fillId="7" borderId="56" xfId="0" applyFill="1" applyBorder="1" applyAlignment="1" applyProtection="1">
      <alignment horizontal="right" vertical="center"/>
      <protection locked="0"/>
    </xf>
    <xf numFmtId="0" fontId="6" fillId="8" borderId="3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0" fillId="0" borderId="1" xfId="0" applyFill="1" applyBorder="1" applyAlignment="1" applyProtection="1">
      <alignment horizontal="center" vertical="center"/>
    </xf>
    <xf numFmtId="0" fontId="0" fillId="0" borderId="6" xfId="0" applyFill="1" applyBorder="1" applyAlignment="1" applyProtection="1">
      <alignment horizontal="center" vertical="center"/>
    </xf>
    <xf numFmtId="0" fontId="9" fillId="15" borderId="14" xfId="0" applyFont="1" applyFill="1" applyBorder="1" applyAlignment="1">
      <alignment horizontal="center" vertical="center"/>
    </xf>
    <xf numFmtId="0" fontId="9" fillId="15" borderId="3"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31" xfId="0" applyFont="1" applyFill="1" applyBorder="1" applyAlignment="1">
      <alignment horizontal="center" vertical="center"/>
    </xf>
    <xf numFmtId="0" fontId="11" fillId="0" borderId="0" xfId="0" applyFont="1" applyBorder="1" applyAlignment="1" applyProtection="1">
      <alignment horizontal="center"/>
    </xf>
    <xf numFmtId="0" fontId="11" fillId="0" borderId="15" xfId="0" applyFont="1" applyBorder="1" applyAlignment="1" applyProtection="1">
      <alignment horizontal="center"/>
    </xf>
    <xf numFmtId="0" fontId="0" fillId="0" borderId="15" xfId="0" applyBorder="1" applyAlignment="1" applyProtection="1"/>
    <xf numFmtId="0" fontId="11" fillId="0" borderId="15" xfId="0" applyFont="1" applyBorder="1" applyAlignment="1" applyProtection="1">
      <alignment horizontal="center"/>
    </xf>
    <xf numFmtId="0" fontId="11" fillId="0" borderId="0" xfId="0" applyFont="1" applyBorder="1" applyAlignment="1" applyProtection="1">
      <alignment horizontal="center"/>
    </xf>
    <xf numFmtId="0" fontId="0" fillId="7" borderId="60" xfId="0"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xf>
    <xf numFmtId="0" fontId="6" fillId="7" borderId="5" xfId="0" applyFont="1" applyFill="1" applyBorder="1" applyAlignment="1" applyProtection="1">
      <alignment horizontal="center" vertical="center"/>
      <protection locked="0"/>
    </xf>
    <xf numFmtId="0" fontId="9" fillId="15" borderId="40" xfId="0" applyFont="1" applyFill="1" applyBorder="1" applyAlignment="1">
      <alignment horizontal="center"/>
    </xf>
    <xf numFmtId="0" fontId="20" fillId="0" borderId="0" xfId="0" applyFont="1" applyBorder="1" applyAlignment="1" applyProtection="1">
      <alignment horizontal="right" vertical="center" indent="1"/>
    </xf>
    <xf numFmtId="0" fontId="20" fillId="6" borderId="0" xfId="0" applyFont="1" applyFill="1" applyBorder="1" applyAlignment="1">
      <alignment horizontal="center" vertical="center"/>
    </xf>
    <xf numFmtId="0" fontId="7" fillId="0" borderId="61" xfId="0" applyFont="1" applyBorder="1" applyAlignment="1" applyProtection="1">
      <alignment horizontal="right" vertical="center" wrapText="1"/>
    </xf>
    <xf numFmtId="0" fontId="6" fillId="6" borderId="62" xfId="0" applyNumberFormat="1" applyFont="1" applyFill="1" applyBorder="1" applyAlignment="1" applyProtection="1">
      <alignment horizontal="center" vertical="center"/>
    </xf>
    <xf numFmtId="0" fontId="6" fillId="7" borderId="14" xfId="0" applyNumberFormat="1" applyFont="1" applyFill="1" applyBorder="1" applyAlignment="1" applyProtection="1">
      <alignment horizontal="center" vertical="center"/>
      <protection locked="0"/>
    </xf>
    <xf numFmtId="0" fontId="0" fillId="5" borderId="14" xfId="0" applyFont="1" applyFill="1" applyBorder="1" applyAlignment="1">
      <alignment horizontal="center"/>
    </xf>
    <xf numFmtId="0" fontId="6" fillId="5" borderId="14" xfId="0" applyFont="1" applyFill="1" applyBorder="1" applyAlignment="1">
      <alignment horizontal="center"/>
    </xf>
    <xf numFmtId="9" fontId="0" fillId="10" borderId="14" xfId="0" applyNumberFormat="1" applyFill="1" applyBorder="1" applyProtection="1">
      <protection locked="0"/>
    </xf>
    <xf numFmtId="0" fontId="7" fillId="0" borderId="14" xfId="0" applyFont="1" applyBorder="1" applyAlignment="1" applyProtection="1">
      <alignment horizontal="center" vertical="center" wrapText="1"/>
    </xf>
    <xf numFmtId="0" fontId="6" fillId="0" borderId="14" xfId="0" quotePrefix="1" applyFont="1" applyBorder="1"/>
    <xf numFmtId="0" fontId="0" fillId="0" borderId="14" xfId="0" applyFill="1" applyBorder="1" applyAlignment="1" applyProtection="1">
      <alignment horizontal="left" vertical="center"/>
    </xf>
    <xf numFmtId="0" fontId="0" fillId="8" borderId="14" xfId="0"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xf>
    <xf numFmtId="0" fontId="0" fillId="0" borderId="31" xfId="0" applyFill="1" applyBorder="1" applyAlignment="1" applyProtection="1">
      <alignment horizontal="right" vertical="center"/>
    </xf>
    <xf numFmtId="0" fontId="0" fillId="0" borderId="14" xfId="0" applyFill="1" applyBorder="1" applyAlignment="1" applyProtection="1">
      <alignment horizontal="right" vertical="center"/>
    </xf>
    <xf numFmtId="0" fontId="0" fillId="0" borderId="14" xfId="0" applyBorder="1" applyAlignment="1">
      <alignment horizontal="right" vertical="center"/>
    </xf>
    <xf numFmtId="0" fontId="0" fillId="0" borderId="14" xfId="0" applyBorder="1" applyAlignment="1">
      <alignment vertical="center"/>
    </xf>
    <xf numFmtId="0" fontId="0" fillId="8" borderId="14" xfId="0" applyFill="1" applyBorder="1" applyAlignment="1" applyProtection="1">
      <alignment vertical="center"/>
      <protection locked="0"/>
    </xf>
    <xf numFmtId="0" fontId="0" fillId="8" borderId="14" xfId="0" applyFill="1" applyBorder="1" applyAlignment="1" applyProtection="1">
      <alignment horizontal="left" vertical="center"/>
      <protection locked="0"/>
    </xf>
    <xf numFmtId="0" fontId="6" fillId="0" borderId="29" xfId="0" applyFont="1" applyBorder="1"/>
    <xf numFmtId="0" fontId="7" fillId="0" borderId="0" xfId="0" applyFont="1" applyFill="1" applyBorder="1" applyAlignment="1" applyProtection="1">
      <alignment horizontal="right" vertical="center" wrapText="1"/>
    </xf>
    <xf numFmtId="0" fontId="6" fillId="7" borderId="29"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right" vertical="center" wrapText="1"/>
    </xf>
    <xf numFmtId="0" fontId="7" fillId="0" borderId="62" xfId="0" applyFont="1" applyBorder="1" applyAlignment="1" applyProtection="1">
      <alignment horizontal="center" vertical="center" wrapText="1"/>
    </xf>
    <xf numFmtId="0" fontId="13" fillId="0" borderId="1" xfId="0" applyFont="1" applyFill="1" applyBorder="1" applyAlignment="1" applyProtection="1">
      <alignment horizontal="left" vertical="center"/>
    </xf>
    <xf numFmtId="0" fontId="7" fillId="0" borderId="60"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7" borderId="14" xfId="0" applyFill="1" applyBorder="1" applyAlignment="1" applyProtection="1">
      <alignment horizontal="center" vertical="center"/>
      <protection locked="0"/>
    </xf>
    <xf numFmtId="0" fontId="0" fillId="0" borderId="31" xfId="0" applyFill="1" applyBorder="1" applyAlignment="1" applyProtection="1">
      <alignment horizontal="right" vertical="center"/>
    </xf>
    <xf numFmtId="0" fontId="6" fillId="5" borderId="3" xfId="0" applyFont="1" applyFill="1" applyBorder="1" applyAlignment="1">
      <alignment horizontal="center"/>
    </xf>
    <xf numFmtId="0" fontId="6" fillId="5" borderId="0" xfId="0" applyFont="1" applyFill="1" applyBorder="1" applyAlignment="1">
      <alignment horizontal="center"/>
    </xf>
    <xf numFmtId="0" fontId="0" fillId="0" borderId="29" xfId="0" applyBorder="1"/>
    <xf numFmtId="9" fontId="0" fillId="0" borderId="4" xfId="2" applyFont="1" applyBorder="1"/>
    <xf numFmtId="9" fontId="0" fillId="0" borderId="16" xfId="2" applyFont="1" applyBorder="1"/>
    <xf numFmtId="9" fontId="0" fillId="0" borderId="6" xfId="2" applyFont="1" applyBorder="1"/>
    <xf numFmtId="9" fontId="0" fillId="0" borderId="31" xfId="2" applyFont="1" applyFill="1" applyBorder="1" applyAlignment="1" applyProtection="1">
      <alignment horizontal="right" vertical="center"/>
    </xf>
    <xf numFmtId="0" fontId="10"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0" fillId="0" borderId="4" xfId="0" applyFill="1" applyBorder="1" applyProtection="1"/>
    <xf numFmtId="0" fontId="6" fillId="3" borderId="60" xfId="0" applyFont="1" applyFill="1" applyBorder="1" applyAlignment="1" applyProtection="1"/>
    <xf numFmtId="0" fontId="6" fillId="3" borderId="61" xfId="0" applyFont="1" applyFill="1" applyBorder="1" applyAlignment="1" applyProtection="1"/>
    <xf numFmtId="0" fontId="6" fillId="3" borderId="61" xfId="0" applyFont="1" applyFill="1" applyBorder="1" applyAlignment="1" applyProtection="1">
      <alignment horizontal="right"/>
    </xf>
    <xf numFmtId="0" fontId="6" fillId="3" borderId="62" xfId="0" applyNumberFormat="1" applyFont="1" applyFill="1" applyBorder="1" applyAlignment="1" applyProtection="1">
      <alignment horizontal="right"/>
    </xf>
    <xf numFmtId="0" fontId="10" fillId="0" borderId="3" xfId="0" applyFont="1" applyFill="1" applyBorder="1" applyAlignment="1" applyProtection="1">
      <alignment vertical="center"/>
    </xf>
    <xf numFmtId="0" fontId="0" fillId="0" borderId="0" xfId="0" applyBorder="1" applyAlignment="1" applyProtection="1">
      <alignment horizontal="left" vertical="center"/>
    </xf>
    <xf numFmtId="14" fontId="0" fillId="0" borderId="14" xfId="0" applyNumberFormat="1" applyBorder="1"/>
    <xf numFmtId="14" fontId="36" fillId="17" borderId="61" xfId="0" applyNumberFormat="1" applyFont="1" applyFill="1" applyBorder="1"/>
    <xf numFmtId="0" fontId="36" fillId="17" borderId="61" xfId="0" applyFont="1" applyFill="1" applyBorder="1"/>
    <xf numFmtId="0" fontId="36" fillId="17" borderId="62" xfId="0" applyFont="1" applyFill="1" applyBorder="1"/>
    <xf numFmtId="0" fontId="9" fillId="5" borderId="14" xfId="0" applyFont="1" applyFill="1" applyBorder="1" applyAlignment="1">
      <alignment horizontal="center"/>
    </xf>
    <xf numFmtId="0" fontId="9" fillId="0" borderId="0" xfId="0" applyFont="1" applyAlignment="1">
      <alignment horizontal="center"/>
    </xf>
    <xf numFmtId="0" fontId="6" fillId="8" borderId="29" xfId="0" applyFont="1" applyFill="1" applyBorder="1" applyAlignment="1" applyProtection="1">
      <alignment horizontal="center" vertical="center"/>
      <protection locked="0"/>
    </xf>
    <xf numFmtId="0" fontId="0" fillId="0" borderId="30" xfId="0" applyBorder="1" applyProtection="1"/>
    <xf numFmtId="0" fontId="6" fillId="5" borderId="29" xfId="0" applyFont="1" applyFill="1" applyBorder="1" applyAlignment="1">
      <alignment horizontal="center"/>
    </xf>
    <xf numFmtId="165" fontId="6" fillId="0" borderId="31" xfId="1" quotePrefix="1" applyFont="1" applyBorder="1"/>
    <xf numFmtId="0" fontId="10" fillId="11" borderId="60" xfId="0" applyFont="1" applyFill="1" applyBorder="1" applyAlignment="1" applyProtection="1">
      <alignment vertical="center"/>
    </xf>
    <xf numFmtId="0" fontId="10" fillId="11" borderId="61" xfId="0" applyFont="1" applyFill="1" applyBorder="1" applyAlignment="1" applyProtection="1">
      <alignment vertical="center"/>
    </xf>
    <xf numFmtId="0" fontId="10" fillId="11" borderId="62" xfId="0" applyFont="1" applyFill="1" applyBorder="1" applyAlignment="1" applyProtection="1">
      <alignment vertical="center"/>
    </xf>
    <xf numFmtId="2" fontId="6" fillId="0" borderId="14" xfId="0" applyNumberFormat="1" applyFont="1" applyFill="1" applyBorder="1" applyAlignment="1" applyProtection="1">
      <alignment horizontal="center" vertical="center"/>
    </xf>
    <xf numFmtId="0" fontId="9" fillId="0" borderId="14" xfId="0" applyFont="1" applyFill="1" applyBorder="1" applyAlignment="1">
      <alignment horizontal="center" vertical="center"/>
    </xf>
    <xf numFmtId="0" fontId="13" fillId="5" borderId="14" xfId="0" applyFont="1" applyFill="1" applyBorder="1"/>
    <xf numFmtId="0" fontId="6" fillId="0" borderId="14" xfId="0" applyFont="1" applyFill="1" applyBorder="1" applyAlignment="1">
      <alignment horizontal="center" vertical="center"/>
    </xf>
    <xf numFmtId="0" fontId="10" fillId="0" borderId="1" xfId="0" applyFont="1" applyFill="1" applyBorder="1" applyAlignment="1" applyProtection="1">
      <alignment vertical="center"/>
    </xf>
    <xf numFmtId="0" fontId="10" fillId="0" borderId="6" xfId="0" applyFont="1" applyFill="1" applyBorder="1" applyAlignment="1" applyProtection="1">
      <alignment vertical="center"/>
    </xf>
    <xf numFmtId="9" fontId="0" fillId="0" borderId="14" xfId="2" applyFont="1" applyBorder="1" applyAlignment="1">
      <alignment horizontal="center" vertical="center"/>
    </xf>
    <xf numFmtId="2" fontId="9" fillId="7" borderId="14" xfId="0" applyNumberFormat="1" applyFont="1" applyFill="1" applyBorder="1" applyAlignment="1" applyProtection="1">
      <alignment horizontal="center" vertical="center"/>
      <protection locked="0"/>
    </xf>
    <xf numFmtId="0" fontId="0" fillId="0" borderId="62" xfId="0" applyBorder="1" applyAlignment="1">
      <alignment horizontal="center" vertical="center"/>
    </xf>
    <xf numFmtId="0" fontId="6" fillId="0" borderId="6" xfId="0" applyFont="1" applyFill="1" applyBorder="1" applyAlignment="1" applyProtection="1">
      <alignment horizontal="center" vertical="center"/>
    </xf>
    <xf numFmtId="0" fontId="0" fillId="0" borderId="31" xfId="0" applyBorder="1" applyAlignment="1">
      <alignment horizontal="center" vertical="center"/>
    </xf>
    <xf numFmtId="16" fontId="28" fillId="0" borderId="45" xfId="5" quotePrefix="1" applyNumberFormat="1" applyFont="1" applyFill="1" applyBorder="1" applyAlignment="1">
      <alignment horizontal="right" wrapText="1"/>
    </xf>
    <xf numFmtId="0" fontId="36" fillId="17" borderId="1" xfId="0" applyFont="1" applyFill="1" applyBorder="1"/>
    <xf numFmtId="0" fontId="0" fillId="0" borderId="62" xfId="0" applyFill="1" applyBorder="1" applyAlignment="1" applyProtection="1">
      <alignment horizontal="center" vertical="center"/>
    </xf>
    <xf numFmtId="14" fontId="38" fillId="0" borderId="4" xfId="0" applyNumberFormat="1" applyFont="1" applyBorder="1" applyAlignment="1" applyProtection="1">
      <alignment horizontal="right" vertical="center"/>
    </xf>
    <xf numFmtId="0" fontId="38" fillId="0" borderId="4" xfId="0" applyNumberFormat="1" applyFont="1" applyBorder="1" applyAlignment="1" applyProtection="1">
      <alignment horizontal="right" vertical="center"/>
    </xf>
    <xf numFmtId="14" fontId="6" fillId="8" borderId="14" xfId="0" applyNumberFormat="1" applyFont="1" applyFill="1" applyBorder="1" applyAlignment="1" applyProtection="1">
      <alignment horizontal="right" vertical="center"/>
      <protection locked="0"/>
    </xf>
    <xf numFmtId="14" fontId="6" fillId="8" borderId="4" xfId="0" applyNumberFormat="1" applyFont="1" applyFill="1" applyBorder="1" applyAlignment="1" applyProtection="1">
      <alignment horizontal="right" vertical="center"/>
      <protection locked="0"/>
    </xf>
    <xf numFmtId="0" fontId="6" fillId="0" borderId="14" xfId="0" applyFont="1" applyFill="1" applyBorder="1"/>
    <xf numFmtId="49" fontId="6" fillId="0" borderId="14" xfId="0" applyNumberFormat="1" applyFont="1" applyBorder="1"/>
    <xf numFmtId="14" fontId="0" fillId="0" borderId="0" xfId="0" applyNumberFormat="1"/>
    <xf numFmtId="0" fontId="0" fillId="0" borderId="31" xfId="0" applyFill="1" applyBorder="1" applyAlignment="1" applyProtection="1">
      <alignment horizontal="right" vertical="center"/>
    </xf>
    <xf numFmtId="0" fontId="10" fillId="11" borderId="60" xfId="0" applyFont="1" applyFill="1" applyBorder="1" applyAlignment="1" applyProtection="1">
      <alignment vertical="center"/>
    </xf>
    <xf numFmtId="0" fontId="10" fillId="11" borderId="61" xfId="0" applyFont="1" applyFill="1" applyBorder="1" applyAlignment="1" applyProtection="1">
      <alignment vertical="center"/>
    </xf>
    <xf numFmtId="0" fontId="10" fillId="11" borderId="62" xfId="0" applyFont="1" applyFill="1" applyBorder="1" applyAlignment="1" applyProtection="1">
      <alignment vertical="center"/>
    </xf>
    <xf numFmtId="0" fontId="6" fillId="0" borderId="0" xfId="0" applyFont="1" applyBorder="1" applyAlignment="1" applyProtection="1">
      <alignment horizontal="right" vertical="center"/>
    </xf>
    <xf numFmtId="0" fontId="8" fillId="3" borderId="60" xfId="0" applyFont="1" applyFill="1" applyBorder="1" applyAlignment="1"/>
    <xf numFmtId="0" fontId="0" fillId="3" borderId="61" xfId="0" applyFill="1" applyBorder="1" applyAlignment="1"/>
    <xf numFmtId="0" fontId="10" fillId="0" borderId="18" xfId="0" applyFont="1" applyFill="1" applyBorder="1" applyAlignment="1" applyProtection="1">
      <alignment vertical="center"/>
    </xf>
    <xf numFmtId="0" fontId="10" fillId="0" borderId="16" xfId="0" applyFont="1" applyFill="1" applyBorder="1" applyAlignment="1" applyProtection="1">
      <alignment vertical="center"/>
    </xf>
    <xf numFmtId="0" fontId="33" fillId="0" borderId="14" xfId="0" applyFont="1" applyBorder="1" applyAlignment="1" applyProtection="1">
      <alignment horizontal="center" vertical="center"/>
    </xf>
    <xf numFmtId="0" fontId="37" fillId="0" borderId="14" xfId="0" applyFont="1" applyBorder="1" applyAlignment="1" applyProtection="1">
      <alignment horizontal="right" vertical="center"/>
    </xf>
    <xf numFmtId="0" fontId="6" fillId="8" borderId="14" xfId="0" applyFont="1" applyFill="1" applyBorder="1" applyAlignment="1" applyProtection="1">
      <alignment horizontal="right" vertical="center"/>
      <protection locked="0"/>
    </xf>
    <xf numFmtId="0" fontId="6" fillId="0" borderId="14" xfId="0" applyFont="1" applyBorder="1" applyAlignment="1" applyProtection="1">
      <alignment horizontal="right" vertical="center"/>
    </xf>
    <xf numFmtId="0" fontId="19" fillId="0" borderId="0" xfId="0" applyFont="1" applyBorder="1" applyAlignment="1" applyProtection="1">
      <alignment horizontal="right" vertical="center"/>
    </xf>
    <xf numFmtId="167" fontId="24" fillId="0" borderId="14" xfId="0" applyNumberFormat="1" applyFont="1" applyBorder="1" applyAlignment="1" applyProtection="1">
      <alignment horizontal="right" vertical="center"/>
    </xf>
    <xf numFmtId="167" fontId="9" fillId="0" borderId="14" xfId="0" applyNumberFormat="1" applyFont="1" applyBorder="1" applyAlignment="1" applyProtection="1">
      <alignment horizontal="right" vertical="center"/>
    </xf>
    <xf numFmtId="9" fontId="37" fillId="0" borderId="29" xfId="2" applyFont="1" applyBorder="1" applyAlignment="1">
      <alignment vertical="center"/>
    </xf>
    <xf numFmtId="0" fontId="7" fillId="0" borderId="29" xfId="0" applyFont="1" applyBorder="1" applyAlignment="1" applyProtection="1">
      <alignment horizontal="right" vertical="center"/>
    </xf>
    <xf numFmtId="167" fontId="9" fillId="8" borderId="29" xfId="0" applyNumberFormat="1" applyFont="1" applyFill="1" applyBorder="1" applyAlignment="1" applyProtection="1">
      <alignment horizontal="right" vertical="center"/>
      <protection locked="0"/>
    </xf>
    <xf numFmtId="167" fontId="9" fillId="9" borderId="14" xfId="0" applyNumberFormat="1" applyFont="1" applyFill="1" applyBorder="1" applyAlignment="1" applyProtection="1">
      <alignment horizontal="right" vertical="center"/>
    </xf>
    <xf numFmtId="0" fontId="26" fillId="0" borderId="14" xfId="0" applyFont="1" applyBorder="1" applyAlignment="1" applyProtection="1">
      <alignment horizontal="right" vertical="center"/>
    </xf>
    <xf numFmtId="0" fontId="6" fillId="8" borderId="29" xfId="0" applyFont="1" applyFill="1" applyBorder="1" applyAlignment="1" applyProtection="1">
      <alignment horizontal="right" vertical="center"/>
      <protection locked="0"/>
    </xf>
    <xf numFmtId="0" fontId="6" fillId="0" borderId="0" xfId="0" applyFont="1" applyAlignment="1">
      <alignment horizontal="right"/>
    </xf>
    <xf numFmtId="0" fontId="6" fillId="0" borderId="29" xfId="0" applyFont="1" applyBorder="1" applyAlignment="1" applyProtection="1">
      <alignment horizontal="right" vertical="center"/>
    </xf>
    <xf numFmtId="0" fontId="6" fillId="3" borderId="62" xfId="0" applyFont="1" applyFill="1" applyBorder="1" applyAlignment="1" applyProtection="1">
      <alignment horizontal="right"/>
    </xf>
    <xf numFmtId="9" fontId="39" fillId="0" borderId="14" xfId="2" applyFont="1" applyBorder="1" applyAlignment="1" applyProtection="1">
      <alignment horizontal="right" vertical="center"/>
    </xf>
    <xf numFmtId="0" fontId="6" fillId="8" borderId="14" xfId="0" applyFont="1" applyFill="1" applyBorder="1" applyAlignment="1" applyProtection="1">
      <alignment horizontal="center" vertical="center"/>
      <protection locked="0"/>
    </xf>
    <xf numFmtId="0" fontId="6" fillId="0" borderId="0" xfId="0" applyFont="1" applyBorder="1" applyAlignment="1" applyProtection="1">
      <alignment horizontal="right" vertical="center"/>
    </xf>
    <xf numFmtId="0" fontId="6" fillId="8" borderId="14" xfId="0" applyFont="1" applyFill="1" applyBorder="1" applyAlignment="1" applyProtection="1">
      <alignment horizontal="center" vertical="center"/>
      <protection locked="0"/>
    </xf>
    <xf numFmtId="0" fontId="37" fillId="0" borderId="31" xfId="0" applyFont="1" applyBorder="1" applyAlignment="1">
      <alignment vertical="center"/>
    </xf>
    <xf numFmtId="9" fontId="6" fillId="0" borderId="31" xfId="2" applyFont="1" applyBorder="1" applyAlignment="1" applyProtection="1">
      <alignment horizontal="right" vertical="center"/>
    </xf>
    <xf numFmtId="0" fontId="6" fillId="0" borderId="31" xfId="2" applyNumberFormat="1" applyFont="1" applyBorder="1" applyAlignment="1" applyProtection="1">
      <alignment horizontal="right" vertical="center"/>
    </xf>
    <xf numFmtId="9" fontId="37" fillId="0" borderId="18" xfId="2" applyFont="1" applyBorder="1" applyAlignment="1">
      <alignment vertical="center"/>
    </xf>
    <xf numFmtId="0" fontId="6" fillId="0" borderId="29" xfId="0" applyFont="1" applyFill="1" applyBorder="1" applyAlignment="1" applyProtection="1">
      <alignment horizontal="center" vertical="center"/>
    </xf>
    <xf numFmtId="0" fontId="6" fillId="8" borderId="14" xfId="0" applyFont="1" applyFill="1" applyBorder="1" applyAlignment="1" applyProtection="1">
      <alignment horizontal="center" vertical="center"/>
      <protection locked="0"/>
    </xf>
    <xf numFmtId="0" fontId="6" fillId="0" borderId="14" xfId="0" applyNumberFormat="1" applyFont="1" applyFill="1" applyBorder="1" applyAlignment="1" applyProtection="1">
      <alignment horizontal="center" vertical="center" wrapText="1"/>
    </xf>
    <xf numFmtId="0" fontId="6" fillId="7" borderId="14" xfId="0" applyFont="1" applyFill="1" applyBorder="1" applyAlignment="1" applyProtection="1">
      <alignment horizontal="center" vertical="center" wrapText="1" shrinkToFit="1"/>
      <protection locked="0"/>
    </xf>
    <xf numFmtId="0" fontId="9" fillId="0" borderId="14" xfId="0" applyFont="1" applyBorder="1" applyAlignment="1">
      <alignment horizontal="center" vertical="center"/>
    </xf>
    <xf numFmtId="0" fontId="0" fillId="2" borderId="14" xfId="0" applyFill="1" applyBorder="1"/>
    <xf numFmtId="9" fontId="0" fillId="0" borderId="14" xfId="0" applyNumberFormat="1" applyBorder="1"/>
    <xf numFmtId="0" fontId="7" fillId="0" borderId="3"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4" xfId="0" applyFont="1" applyBorder="1" applyAlignment="1" applyProtection="1">
      <alignment horizontal="right" vertical="center" wrapText="1"/>
    </xf>
    <xf numFmtId="0" fontId="35" fillId="0" borderId="3"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4" xfId="0" applyFont="1" applyBorder="1" applyAlignment="1" applyProtection="1">
      <alignment horizontal="center" vertical="center"/>
    </xf>
    <xf numFmtId="0" fontId="7" fillId="0" borderId="3"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4" xfId="0" applyFont="1" applyFill="1" applyBorder="1" applyAlignment="1" applyProtection="1">
      <alignment horizontal="right" vertical="center" wrapText="1"/>
    </xf>
    <xf numFmtId="0" fontId="6" fillId="8" borderId="60" xfId="0" applyNumberFormat="1" applyFont="1" applyFill="1" applyBorder="1" applyAlignment="1" applyProtection="1">
      <alignment horizontal="center" vertical="center"/>
      <protection locked="0"/>
    </xf>
    <xf numFmtId="0" fontId="6" fillId="8" borderId="61" xfId="0" applyNumberFormat="1" applyFont="1" applyFill="1" applyBorder="1" applyAlignment="1" applyProtection="1">
      <alignment horizontal="center" vertical="center"/>
      <protection locked="0"/>
    </xf>
    <xf numFmtId="0" fontId="6" fillId="8" borderId="62" xfId="0" applyNumberFormat="1" applyFont="1" applyFill="1" applyBorder="1" applyAlignment="1" applyProtection="1">
      <alignment horizontal="center" vertical="center"/>
      <protection locked="0"/>
    </xf>
    <xf numFmtId="0" fontId="10" fillId="11" borderId="60" xfId="0" applyFont="1" applyFill="1" applyBorder="1" applyAlignment="1" applyProtection="1">
      <alignment vertical="center"/>
    </xf>
    <xf numFmtId="0" fontId="10" fillId="11" borderId="61" xfId="0" applyFont="1" applyFill="1" applyBorder="1" applyAlignment="1" applyProtection="1">
      <alignment vertical="center"/>
    </xf>
    <xf numFmtId="0" fontId="10" fillId="11" borderId="62" xfId="0" applyFont="1" applyFill="1" applyBorder="1" applyAlignment="1" applyProtection="1">
      <alignment vertical="center"/>
    </xf>
    <xf numFmtId="0" fontId="6" fillId="7" borderId="60" xfId="0" applyNumberFormat="1" applyFont="1" applyFill="1" applyBorder="1" applyAlignment="1" applyProtection="1">
      <alignment horizontal="center" vertical="center"/>
      <protection locked="0"/>
    </xf>
    <xf numFmtId="0" fontId="6" fillId="7" borderId="61" xfId="0" applyNumberFormat="1" applyFont="1" applyFill="1" applyBorder="1" applyAlignment="1" applyProtection="1">
      <alignment horizontal="center" vertical="center"/>
      <protection locked="0"/>
    </xf>
    <xf numFmtId="0" fontId="6" fillId="7" borderId="62" xfId="0" applyNumberFormat="1" applyFont="1" applyFill="1" applyBorder="1" applyAlignment="1" applyProtection="1">
      <alignment horizontal="center" vertical="center"/>
      <protection locked="0"/>
    </xf>
    <xf numFmtId="0" fontId="6" fillId="7" borderId="60" xfId="0" applyFont="1" applyFill="1" applyBorder="1" applyAlignment="1" applyProtection="1">
      <alignment horizontal="left" vertical="center"/>
      <protection locked="0"/>
    </xf>
    <xf numFmtId="0" fontId="6" fillId="7" borderId="61" xfId="0" applyFont="1" applyFill="1" applyBorder="1" applyAlignment="1" applyProtection="1">
      <alignment horizontal="left" vertical="center"/>
      <protection locked="0"/>
    </xf>
    <xf numFmtId="0" fontId="6" fillId="7" borderId="62" xfId="0" applyFont="1" applyFill="1" applyBorder="1" applyAlignment="1" applyProtection="1">
      <alignment horizontal="left" vertical="center"/>
      <protection locked="0"/>
    </xf>
    <xf numFmtId="0" fontId="0" fillId="0" borderId="60" xfId="0" applyFill="1" applyBorder="1" applyAlignment="1" applyProtection="1">
      <alignment horizontal="center"/>
    </xf>
    <xf numFmtId="0" fontId="0" fillId="0" borderId="61" xfId="0" applyFill="1" applyBorder="1" applyAlignment="1" applyProtection="1">
      <alignment horizontal="center"/>
    </xf>
    <xf numFmtId="0" fontId="0" fillId="0" borderId="62" xfId="0" applyFill="1" applyBorder="1" applyAlignment="1" applyProtection="1">
      <alignment horizontal="center"/>
    </xf>
    <xf numFmtId="0" fontId="10" fillId="0" borderId="39" xfId="0" applyFont="1" applyFill="1" applyBorder="1" applyAlignment="1">
      <alignment horizontal="center"/>
    </xf>
    <xf numFmtId="0" fontId="10" fillId="0" borderId="33" xfId="0" applyFont="1" applyFill="1" applyBorder="1" applyAlignment="1">
      <alignment horizontal="center"/>
    </xf>
    <xf numFmtId="0" fontId="10" fillId="0" borderId="40" xfId="0" applyFont="1" applyFill="1" applyBorder="1" applyAlignment="1">
      <alignment horizontal="center"/>
    </xf>
    <xf numFmtId="0" fontId="10" fillId="0" borderId="57" xfId="0" applyFont="1" applyFill="1" applyBorder="1" applyAlignment="1">
      <alignment horizontal="center"/>
    </xf>
    <xf numFmtId="0" fontId="10" fillId="0" borderId="41" xfId="0" applyFont="1" applyFill="1" applyBorder="1" applyAlignment="1">
      <alignment horizontal="center"/>
    </xf>
    <xf numFmtId="0" fontId="10" fillId="0" borderId="32" xfId="0" applyFont="1" applyFill="1" applyBorder="1" applyAlignment="1">
      <alignment horizontal="center"/>
    </xf>
    <xf numFmtId="0" fontId="10" fillId="0" borderId="7" xfId="0" applyFont="1" applyFill="1" applyBorder="1" applyAlignment="1">
      <alignment horizontal="center"/>
    </xf>
    <xf numFmtId="0" fontId="10" fillId="0" borderId="9" xfId="0" applyFont="1" applyFill="1" applyBorder="1" applyAlignment="1">
      <alignment horizontal="center"/>
    </xf>
    <xf numFmtId="0" fontId="10" fillId="0" borderId="8" xfId="0" applyFont="1" applyFill="1" applyBorder="1" applyAlignment="1">
      <alignment horizontal="center"/>
    </xf>
    <xf numFmtId="0" fontId="7" fillId="0" borderId="60" xfId="0" applyFont="1" applyBorder="1" applyAlignment="1" applyProtection="1">
      <alignment horizontal="center" vertical="center" wrapText="1"/>
    </xf>
    <xf numFmtId="0" fontId="7" fillId="0" borderId="61"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7" fillId="0" borderId="18"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14" xfId="0" applyFont="1" applyBorder="1" applyAlignment="1" applyProtection="1">
      <alignment horizontal="center" vertical="center" wrapText="1"/>
    </xf>
    <xf numFmtId="0" fontId="0" fillId="3" borderId="17" xfId="0" applyNumberFormat="1" applyFill="1" applyBorder="1" applyAlignment="1" applyProtection="1">
      <alignment horizontal="center" wrapText="1"/>
    </xf>
    <xf numFmtId="0" fontId="0" fillId="3" borderId="12" xfId="0" applyNumberFormat="1" applyFill="1" applyBorder="1" applyAlignment="1" applyProtection="1">
      <alignment horizontal="center" wrapText="1"/>
    </xf>
    <xf numFmtId="0" fontId="8" fillId="3" borderId="13" xfId="0" applyFont="1" applyFill="1" applyBorder="1" applyAlignment="1" applyProtection="1"/>
    <xf numFmtId="0" fontId="0" fillId="3" borderId="17" xfId="0" applyFill="1" applyBorder="1" applyAlignment="1"/>
    <xf numFmtId="49" fontId="6" fillId="7" borderId="5" xfId="0" applyNumberFormat="1" applyFont="1" applyFill="1" applyBorder="1" applyAlignment="1" applyProtection="1">
      <alignment horizontal="left" vertical="center"/>
      <protection locked="0"/>
    </xf>
    <xf numFmtId="49" fontId="0" fillId="7" borderId="1" xfId="0" applyNumberFormat="1" applyFill="1" applyBorder="1" applyAlignment="1" applyProtection="1">
      <alignment horizontal="left" vertical="center"/>
      <protection locked="0"/>
    </xf>
    <xf numFmtId="49" fontId="0" fillId="7" borderId="6" xfId="0" applyNumberFormat="1" applyFill="1" applyBorder="1" applyAlignment="1" applyProtection="1">
      <alignment horizontal="left" vertical="center"/>
      <protection locked="0"/>
    </xf>
    <xf numFmtId="0" fontId="0" fillId="0" borderId="18" xfId="0" applyBorder="1" applyAlignment="1" applyProtection="1">
      <alignment vertical="justify" wrapText="1"/>
    </xf>
    <xf numFmtId="0" fontId="0" fillId="0" borderId="16" xfId="0" applyBorder="1" applyAlignment="1" applyProtection="1">
      <alignment vertical="justify" wrapText="1"/>
    </xf>
    <xf numFmtId="0" fontId="0" fillId="0" borderId="5" xfId="0" applyBorder="1" applyAlignment="1" applyProtection="1">
      <alignment vertical="justify" wrapText="1"/>
    </xf>
    <xf numFmtId="0" fontId="0" fillId="0" borderId="6" xfId="0" applyBorder="1" applyAlignment="1" applyProtection="1">
      <alignment vertical="justify" wrapText="1"/>
    </xf>
    <xf numFmtId="0" fontId="0" fillId="0" borderId="13" xfId="0" applyBorder="1" applyAlignment="1" applyProtection="1">
      <alignment vertical="justify"/>
    </xf>
    <xf numFmtId="0" fontId="0" fillId="0" borderId="17" xfId="0" applyBorder="1" applyAlignment="1" applyProtection="1">
      <alignment vertical="justify"/>
    </xf>
    <xf numFmtId="0" fontId="0" fillId="0" borderId="12" xfId="0" applyBorder="1" applyAlignment="1" applyProtection="1">
      <alignment vertical="justify"/>
    </xf>
    <xf numFmtId="0" fontId="11" fillId="0" borderId="13" xfId="0" applyFont="1" applyBorder="1" applyAlignment="1" applyProtection="1">
      <alignment horizontal="center" vertical="justify"/>
    </xf>
    <xf numFmtId="0" fontId="11" fillId="0" borderId="12" xfId="0" applyFont="1" applyBorder="1" applyAlignment="1" applyProtection="1">
      <alignment horizontal="center" vertical="justify"/>
    </xf>
    <xf numFmtId="0" fontId="6" fillId="7" borderId="13" xfId="8" applyFont="1" applyFill="1" applyBorder="1" applyAlignment="1" applyProtection="1">
      <alignment horizontal="left" vertical="center"/>
      <protection locked="0"/>
    </xf>
    <xf numFmtId="0" fontId="6" fillId="7" borderId="17"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6" fillId="7" borderId="13" xfId="0" applyFont="1" applyFill="1" applyBorder="1" applyAlignment="1" applyProtection="1">
      <alignment horizontal="left" vertical="center"/>
      <protection locked="0"/>
    </xf>
    <xf numFmtId="0" fontId="0" fillId="7" borderId="17" xfId="0" applyFill="1" applyBorder="1" applyAlignment="1" applyProtection="1">
      <alignment horizontal="left" vertical="center"/>
      <protection locked="0"/>
    </xf>
    <xf numFmtId="0" fontId="0" fillId="7" borderId="12" xfId="0" applyFill="1" applyBorder="1" applyAlignment="1" applyProtection="1">
      <alignment horizontal="left" vertical="center"/>
      <protection locked="0"/>
    </xf>
    <xf numFmtId="0" fontId="6" fillId="7" borderId="13" xfId="0" applyFont="1"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2" xfId="0" applyBorder="1" applyAlignment="1" applyProtection="1">
      <alignment vertical="center"/>
      <protection locked="0"/>
    </xf>
    <xf numFmtId="0" fontId="30" fillId="0" borderId="3"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4" xfId="0" applyFont="1" applyBorder="1" applyAlignment="1" applyProtection="1">
      <alignment horizontal="center" vertical="center"/>
    </xf>
    <xf numFmtId="0" fontId="6" fillId="7" borderId="5" xfId="8" applyFont="1" applyFill="1" applyBorder="1" applyAlignment="1" applyProtection="1">
      <alignment horizontal="left" vertical="center"/>
      <protection locked="0"/>
    </xf>
    <xf numFmtId="0" fontId="6" fillId="7" borderId="1" xfId="8" applyFont="1" applyFill="1" applyBorder="1" applyAlignment="1" applyProtection="1">
      <alignment horizontal="left" vertical="center"/>
      <protection locked="0"/>
    </xf>
    <xf numFmtId="0" fontId="6" fillId="7" borderId="6" xfId="8"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0" fontId="6" fillId="7" borderId="6" xfId="0" applyFont="1" applyFill="1" applyBorder="1" applyAlignment="1" applyProtection="1">
      <alignment horizontal="left" vertical="center"/>
      <protection locked="0"/>
    </xf>
    <xf numFmtId="49" fontId="6" fillId="7" borderId="13" xfId="0" applyNumberFormat="1" applyFont="1" applyFill="1" applyBorder="1" applyAlignment="1" applyProtection="1">
      <alignment horizontal="left" vertical="center"/>
      <protection locked="0"/>
    </xf>
    <xf numFmtId="49" fontId="6" fillId="7" borderId="12" xfId="0" applyNumberFormat="1" applyFont="1" applyFill="1" applyBorder="1" applyAlignment="1" applyProtection="1">
      <alignment horizontal="left" vertical="center"/>
      <protection locked="0"/>
    </xf>
    <xf numFmtId="0" fontId="34" fillId="7" borderId="13" xfId="8" applyFill="1" applyBorder="1" applyAlignment="1" applyProtection="1">
      <alignment horizontal="left" vertical="center"/>
      <protection locked="0"/>
    </xf>
    <xf numFmtId="0" fontId="7" fillId="14" borderId="17" xfId="0" applyFont="1" applyFill="1" applyBorder="1" applyAlignment="1">
      <alignment horizontal="right" wrapText="1"/>
    </xf>
    <xf numFmtId="0" fontId="7" fillId="14" borderId="12" xfId="0" applyFont="1" applyFill="1" applyBorder="1" applyAlignment="1">
      <alignment horizontal="right" wrapText="1"/>
    </xf>
    <xf numFmtId="0" fontId="6" fillId="7" borderId="17" xfId="8" applyFont="1" applyFill="1" applyBorder="1" applyAlignment="1" applyProtection="1">
      <alignment horizontal="left" vertical="center"/>
      <protection locked="0"/>
    </xf>
    <xf numFmtId="0" fontId="6" fillId="7" borderId="12" xfId="8" applyFont="1" applyFill="1" applyBorder="1" applyAlignment="1" applyProtection="1">
      <alignment horizontal="left" vertical="center"/>
      <protection locked="0"/>
    </xf>
    <xf numFmtId="0" fontId="0" fillId="7" borderId="61" xfId="0" applyNumberFormat="1" applyFill="1" applyBorder="1" applyAlignment="1" applyProtection="1">
      <alignment horizontal="center" vertical="center"/>
      <protection locked="0"/>
    </xf>
    <xf numFmtId="0" fontId="0" fillId="7" borderId="62" xfId="0" applyNumberFormat="1" applyFill="1" applyBorder="1" applyAlignment="1" applyProtection="1">
      <alignment horizontal="center" vertical="center"/>
      <protection locked="0"/>
    </xf>
    <xf numFmtId="0" fontId="0" fillId="0" borderId="0" xfId="0" applyBorder="1" applyAlignment="1">
      <alignment vertical="center" wrapText="1"/>
    </xf>
    <xf numFmtId="0" fontId="0" fillId="0" borderId="4" xfId="0" applyBorder="1" applyAlignment="1">
      <alignment vertical="center" wrapText="1"/>
    </xf>
    <xf numFmtId="0" fontId="0" fillId="7" borderId="60" xfId="0" applyFill="1" applyBorder="1" applyAlignment="1" applyProtection="1">
      <alignment horizontal="center" vertical="center" wrapText="1"/>
      <protection locked="0"/>
    </xf>
    <xf numFmtId="0" fontId="0" fillId="7" borderId="62" xfId="0" applyFill="1" applyBorder="1" applyAlignment="1" applyProtection="1">
      <alignment horizontal="center" vertical="center" wrapText="1"/>
      <protection locked="0"/>
    </xf>
    <xf numFmtId="0" fontId="7" fillId="0" borderId="1" xfId="0" applyFont="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9" fillId="0" borderId="13" xfId="0" applyFont="1" applyBorder="1" applyAlignment="1" applyProtection="1">
      <alignment horizontal="left" vertical="center"/>
    </xf>
    <xf numFmtId="0" fontId="9" fillId="0" borderId="17" xfId="0" applyFont="1" applyBorder="1" applyAlignment="1" applyProtection="1">
      <alignment horizontal="left" vertical="center"/>
    </xf>
    <xf numFmtId="0" fontId="10" fillId="0" borderId="3" xfId="0" applyFont="1" applyBorder="1" applyAlignment="1" applyProtection="1">
      <alignment horizontal="right" vertical="center"/>
    </xf>
    <xf numFmtId="0" fontId="10" fillId="0" borderId="4" xfId="0" applyFont="1" applyBorder="1" applyAlignment="1" applyProtection="1">
      <alignment horizontal="right" vertical="center"/>
    </xf>
    <xf numFmtId="0" fontId="6" fillId="7" borderId="5" xfId="0" applyFont="1" applyFill="1" applyBorder="1" applyAlignment="1" applyProtection="1">
      <alignment horizontal="left" vertical="center"/>
      <protection locked="0"/>
    </xf>
    <xf numFmtId="0" fontId="0" fillId="0" borderId="4" xfId="0" applyBorder="1" applyAlignment="1" applyProtection="1">
      <alignment horizontal="right" vertical="center" wrapText="1"/>
    </xf>
    <xf numFmtId="0" fontId="0" fillId="0" borderId="17"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7" fillId="0" borderId="6" xfId="0" applyFont="1" applyFill="1" applyBorder="1" applyAlignment="1" applyProtection="1">
      <alignment horizontal="right" vertical="center" wrapText="1"/>
    </xf>
    <xf numFmtId="0" fontId="6" fillId="7" borderId="5" xfId="0" quotePrefix="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10" fillId="11" borderId="18" xfId="0" applyFont="1" applyFill="1" applyBorder="1" applyAlignment="1" applyProtection="1">
      <alignment vertical="center"/>
    </xf>
    <xf numFmtId="0" fontId="10" fillId="11" borderId="15" xfId="0" applyFont="1" applyFill="1" applyBorder="1" applyAlignment="1" applyProtection="1">
      <alignment vertical="center"/>
    </xf>
    <xf numFmtId="0" fontId="10" fillId="11" borderId="16" xfId="0" applyFont="1" applyFill="1" applyBorder="1" applyAlignment="1" applyProtection="1">
      <alignment vertical="center"/>
    </xf>
    <xf numFmtId="0" fontId="6" fillId="0" borderId="13" xfId="0" applyNumberFormat="1" applyFont="1" applyFill="1" applyBorder="1" applyAlignment="1" applyProtection="1">
      <alignment horizontal="center" vertical="center" wrapText="1"/>
    </xf>
    <xf numFmtId="0" fontId="6" fillId="0" borderId="17"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7" borderId="60" xfId="0" applyFont="1" applyFill="1" applyBorder="1" applyAlignment="1" applyProtection="1">
      <alignment horizontal="center" vertical="center"/>
      <protection locked="0"/>
    </xf>
    <xf numFmtId="0" fontId="6" fillId="7" borderId="61" xfId="0" applyFont="1" applyFill="1" applyBorder="1" applyAlignment="1" applyProtection="1">
      <alignment horizontal="center" vertical="center"/>
      <protection locked="0"/>
    </xf>
    <xf numFmtId="0" fontId="6" fillId="7" borderId="62" xfId="0" applyFont="1" applyFill="1" applyBorder="1" applyAlignment="1" applyProtection="1">
      <alignment horizontal="center" vertical="center"/>
      <protection locked="0"/>
    </xf>
    <xf numFmtId="0" fontId="7" fillId="0" borderId="3" xfId="0" applyFont="1" applyBorder="1" applyAlignment="1" applyProtection="1">
      <alignment horizontal="right" vertical="center"/>
    </xf>
    <xf numFmtId="0" fontId="7" fillId="0" borderId="0" xfId="0" applyFont="1" applyBorder="1" applyAlignment="1" applyProtection="1">
      <alignment horizontal="right" vertical="center"/>
    </xf>
    <xf numFmtId="0" fontId="0" fillId="7" borderId="61"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7" fillId="0" borderId="18"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4" xfId="0" applyFont="1" applyBorder="1" applyAlignment="1" applyProtection="1">
      <alignment horizontal="right" vertical="center"/>
    </xf>
    <xf numFmtId="0" fontId="7" fillId="0" borderId="18"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right" vertical="center" wrapText="1"/>
    </xf>
    <xf numFmtId="0" fontId="7" fillId="0" borderId="16"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4" xfId="0" applyFont="1" applyBorder="1" applyAlignment="1">
      <alignment horizontal="right" vertical="center"/>
    </xf>
    <xf numFmtId="9" fontId="9" fillId="0" borderId="13" xfId="2" applyFont="1" applyFill="1" applyBorder="1" applyAlignment="1" applyProtection="1">
      <alignment horizontal="right" vertical="center"/>
    </xf>
    <xf numFmtId="0" fontId="9" fillId="0" borderId="17" xfId="0" applyFont="1" applyBorder="1" applyAlignment="1" applyProtection="1">
      <alignment horizontal="right" vertical="center"/>
    </xf>
    <xf numFmtId="0" fontId="6" fillId="8" borderId="60" xfId="0" applyFont="1" applyFill="1" applyBorder="1" applyAlignment="1" applyProtection="1">
      <alignment horizontal="center" vertical="center"/>
      <protection locked="0"/>
    </xf>
    <xf numFmtId="0" fontId="6" fillId="8" borderId="61" xfId="0" applyFont="1" applyFill="1" applyBorder="1" applyAlignment="1" applyProtection="1">
      <alignment horizontal="center" vertical="center"/>
      <protection locked="0"/>
    </xf>
    <xf numFmtId="0" fontId="6" fillId="8" borderId="62"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xf>
    <xf numFmtId="0" fontId="9" fillId="0" borderId="12" xfId="0" applyFont="1" applyBorder="1" applyAlignment="1" applyProtection="1">
      <alignment horizontal="left" vertical="center"/>
    </xf>
    <xf numFmtId="0" fontId="6" fillId="8" borderId="17" xfId="0" applyFont="1" applyFill="1" applyBorder="1" applyAlignment="1" applyProtection="1">
      <alignment horizontal="left" vertical="center" wrapText="1" shrinkToFit="1"/>
      <protection locked="0"/>
    </xf>
    <xf numFmtId="0" fontId="6" fillId="8" borderId="12" xfId="0" applyFont="1" applyFill="1" applyBorder="1" applyAlignment="1" applyProtection="1">
      <alignment horizontal="left" vertical="center" wrapText="1" shrinkToFit="1"/>
      <protection locked="0"/>
    </xf>
    <xf numFmtId="0" fontId="6" fillId="7" borderId="60" xfId="0" applyNumberFormat="1" applyFont="1" applyFill="1" applyBorder="1" applyAlignment="1" applyProtection="1">
      <alignment horizontal="left" vertical="center"/>
      <protection locked="0"/>
    </xf>
    <xf numFmtId="0" fontId="0" fillId="7" borderId="61" xfId="0" applyFill="1" applyBorder="1" applyAlignment="1" applyProtection="1">
      <alignment horizontal="left" vertical="center"/>
      <protection locked="0"/>
    </xf>
    <xf numFmtId="0" fontId="0" fillId="7" borderId="62" xfId="0" applyFill="1" applyBorder="1" applyAlignment="1" applyProtection="1">
      <alignment horizontal="left" vertical="center"/>
      <protection locked="0"/>
    </xf>
    <xf numFmtId="0" fontId="7" fillId="0" borderId="31" xfId="0" applyFont="1" applyBorder="1" applyAlignment="1" applyProtection="1">
      <alignment horizontal="right" vertical="center" wrapText="1"/>
    </xf>
    <xf numFmtId="0" fontId="0" fillId="7" borderId="60" xfId="0" applyFill="1" applyBorder="1" applyAlignment="1" applyProtection="1">
      <alignment horizontal="center" vertical="center"/>
      <protection locked="0"/>
    </xf>
    <xf numFmtId="0" fontId="10" fillId="0" borderId="17"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35" fillId="0" borderId="60" xfId="0" applyFont="1" applyBorder="1" applyAlignment="1" applyProtection="1">
      <alignment horizontal="center" vertical="center"/>
    </xf>
    <xf numFmtId="0" fontId="35" fillId="0" borderId="61" xfId="0" applyFont="1" applyBorder="1" applyAlignment="1" applyProtection="1">
      <alignment horizontal="center" vertical="center"/>
    </xf>
    <xf numFmtId="0" fontId="35" fillId="0" borderId="62" xfId="0" applyFont="1" applyBorder="1" applyAlignment="1" applyProtection="1">
      <alignment horizontal="center" vertical="center"/>
    </xf>
    <xf numFmtId="0" fontId="0" fillId="7" borderId="60" xfId="0" applyFill="1" applyBorder="1" applyAlignment="1" applyProtection="1">
      <alignment horizontal="right" vertical="center"/>
      <protection locked="0"/>
    </xf>
    <xf numFmtId="0" fontId="0" fillId="7" borderId="61" xfId="0" applyFill="1" applyBorder="1" applyAlignment="1" applyProtection="1">
      <alignment horizontal="right" vertical="center"/>
      <protection locked="0"/>
    </xf>
    <xf numFmtId="0" fontId="0" fillId="7" borderId="62" xfId="0" applyFill="1" applyBorder="1" applyAlignment="1" applyProtection="1">
      <alignment horizontal="right" vertical="center"/>
      <protection locked="0"/>
    </xf>
    <xf numFmtId="0" fontId="6" fillId="8" borderId="14" xfId="0" applyFont="1" applyFill="1" applyBorder="1" applyAlignment="1" applyProtection="1">
      <alignment horizontal="center" vertical="center"/>
      <protection locked="0"/>
    </xf>
    <xf numFmtId="0" fontId="6" fillId="8" borderId="60" xfId="0" applyFont="1" applyFill="1" applyBorder="1" applyAlignment="1" applyProtection="1">
      <alignment horizontal="left" vertical="center"/>
      <protection locked="0"/>
    </xf>
    <xf numFmtId="0" fontId="6" fillId="8" borderId="61" xfId="0" applyFont="1" applyFill="1" applyBorder="1" applyAlignment="1" applyProtection="1">
      <alignment horizontal="left" vertical="center"/>
      <protection locked="0"/>
    </xf>
    <xf numFmtId="0" fontId="6" fillId="8" borderId="62" xfId="0" applyFont="1" applyFill="1" applyBorder="1" applyAlignment="1" applyProtection="1">
      <alignment horizontal="left" vertical="center"/>
      <protection locked="0"/>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14" xfId="0" applyFont="1" applyFill="1" applyBorder="1" applyAlignment="1">
      <alignment horizontal="left" vertical="center"/>
    </xf>
    <xf numFmtId="0" fontId="6" fillId="0" borderId="14" xfId="0" applyFont="1" applyFill="1" applyBorder="1" applyAlignment="1">
      <alignment horizontal="left" vertical="center" wrapText="1"/>
    </xf>
    <xf numFmtId="0" fontId="0" fillId="0" borderId="0" xfId="0" applyBorder="1" applyAlignment="1" applyProtection="1">
      <alignment horizontal="center" wrapText="1"/>
    </xf>
    <xf numFmtId="0" fontId="6" fillId="15" borderId="27" xfId="0" applyFont="1" applyFill="1" applyBorder="1" applyAlignment="1">
      <alignment horizontal="center" vertical="center"/>
    </xf>
    <xf numFmtId="0" fontId="6" fillId="15" borderId="20" xfId="0" applyFont="1" applyFill="1" applyBorder="1" applyAlignment="1">
      <alignment horizontal="center" vertical="center"/>
    </xf>
    <xf numFmtId="0" fontId="6" fillId="15" borderId="28" xfId="0" applyFont="1" applyFill="1" applyBorder="1" applyAlignment="1">
      <alignment horizontal="center" vertical="center"/>
    </xf>
    <xf numFmtId="0" fontId="9" fillId="0" borderId="60"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6" fillId="19" borderId="18" xfId="0" applyFont="1" applyFill="1" applyBorder="1" applyAlignment="1" applyProtection="1">
      <alignment horizontal="center" vertical="center"/>
    </xf>
    <xf numFmtId="0" fontId="6" fillId="19" borderId="15" xfId="0" applyFont="1" applyFill="1" applyBorder="1" applyAlignment="1" applyProtection="1">
      <alignment horizontal="center" vertical="center"/>
    </xf>
    <xf numFmtId="0" fontId="6" fillId="19" borderId="16" xfId="0" applyFont="1" applyFill="1" applyBorder="1" applyAlignment="1" applyProtection="1">
      <alignment horizontal="center" vertical="center"/>
    </xf>
    <xf numFmtId="0" fontId="6" fillId="19" borderId="5" xfId="0" applyFont="1" applyFill="1" applyBorder="1" applyAlignment="1" applyProtection="1">
      <alignment horizontal="center" vertical="center"/>
    </xf>
    <xf numFmtId="0" fontId="6" fillId="19" borderId="1" xfId="0" applyFont="1" applyFill="1" applyBorder="1" applyAlignment="1" applyProtection="1">
      <alignment horizontal="center" vertical="center"/>
    </xf>
    <xf numFmtId="0" fontId="6" fillId="19" borderId="6" xfId="0" applyFont="1" applyFill="1" applyBorder="1" applyAlignment="1" applyProtection="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0" xfId="0" applyNumberFormat="1" applyFont="1" applyBorder="1" applyAlignment="1" applyProtection="1">
      <alignment horizontal="center" vertical="center"/>
    </xf>
    <xf numFmtId="0" fontId="9" fillId="0" borderId="61" xfId="0" applyNumberFormat="1" applyFont="1" applyBorder="1" applyAlignment="1" applyProtection="1">
      <alignment horizontal="center" vertical="center"/>
    </xf>
    <xf numFmtId="0" fontId="9" fillId="0" borderId="62" xfId="0" applyNumberFormat="1" applyFont="1" applyBorder="1" applyAlignment="1" applyProtection="1">
      <alignment horizontal="center" vertical="center"/>
    </xf>
    <xf numFmtId="0" fontId="8" fillId="3" borderId="60" xfId="0" applyFont="1" applyFill="1" applyBorder="1" applyAlignment="1" applyProtection="1">
      <alignment horizontal="center" vertical="center"/>
    </xf>
    <xf numFmtId="0" fontId="8" fillId="3" borderId="61" xfId="0" applyFont="1" applyFill="1" applyBorder="1" applyAlignment="1" applyProtection="1">
      <alignment horizontal="center" vertical="center"/>
    </xf>
    <xf numFmtId="0" fontId="8" fillId="3" borderId="62" xfId="0" applyFont="1" applyFill="1" applyBorder="1" applyAlignment="1" applyProtection="1">
      <alignment horizontal="center" vertical="center"/>
    </xf>
    <xf numFmtId="0" fontId="6" fillId="0" borderId="14" xfId="0" applyFont="1" applyBorder="1" applyAlignment="1" applyProtection="1">
      <alignment horizontal="left" vertical="center" wrapText="1"/>
    </xf>
    <xf numFmtId="0" fontId="9" fillId="15" borderId="41" xfId="0" applyFont="1" applyFill="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6" fillId="0" borderId="59" xfId="0" applyFont="1" applyBorder="1" applyAlignment="1" applyProtection="1">
      <alignment horizontal="left" vertical="center" wrapText="1"/>
    </xf>
    <xf numFmtId="0" fontId="9" fillId="15" borderId="3"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29"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31" xfId="0" applyFont="1" applyFill="1" applyBorder="1" applyAlignment="1">
      <alignment horizontal="center" vertical="center"/>
    </xf>
    <xf numFmtId="0" fontId="9" fillId="15" borderId="16"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6" xfId="0" applyFont="1" applyFill="1" applyBorder="1" applyAlignment="1">
      <alignment horizontal="center" vertical="center"/>
    </xf>
    <xf numFmtId="0" fontId="9" fillId="15" borderId="42" xfId="0" applyFont="1" applyFill="1" applyBorder="1" applyAlignment="1">
      <alignment horizontal="center"/>
    </xf>
    <xf numFmtId="0" fontId="9" fillId="15" borderId="41" xfId="0" applyFont="1" applyFill="1" applyBorder="1" applyAlignment="1">
      <alignment horizontal="center"/>
    </xf>
    <xf numFmtId="0" fontId="9" fillId="15" borderId="32" xfId="0" applyFont="1" applyFill="1" applyBorder="1" applyAlignment="1">
      <alignment horizontal="center"/>
    </xf>
    <xf numFmtId="0" fontId="9" fillId="15" borderId="14" xfId="0" applyFont="1" applyFill="1" applyBorder="1" applyAlignment="1">
      <alignment horizontal="center" vertical="center" wrapText="1"/>
    </xf>
    <xf numFmtId="0" fontId="9" fillId="15" borderId="60" xfId="0" applyFont="1" applyFill="1" applyBorder="1" applyAlignment="1">
      <alignment horizontal="center" vertical="center"/>
    </xf>
    <xf numFmtId="0" fontId="9" fillId="15" borderId="61" xfId="0" applyFont="1" applyFill="1" applyBorder="1" applyAlignment="1">
      <alignment horizontal="center" vertical="center"/>
    </xf>
    <xf numFmtId="0" fontId="9" fillId="15" borderId="62" xfId="0" applyFont="1" applyFill="1" applyBorder="1" applyAlignment="1">
      <alignment horizontal="center" vertical="center"/>
    </xf>
    <xf numFmtId="0" fontId="9" fillId="15" borderId="57" xfId="0" applyFont="1" applyFill="1" applyBorder="1" applyAlignment="1">
      <alignment horizontal="center" vertical="center"/>
    </xf>
    <xf numFmtId="0" fontId="9" fillId="15" borderId="41" xfId="0" applyFont="1" applyFill="1" applyBorder="1" applyAlignment="1">
      <alignment horizontal="center" vertical="center"/>
    </xf>
    <xf numFmtId="0" fontId="9" fillId="15" borderId="32" xfId="0" applyFont="1" applyFill="1" applyBorder="1" applyAlignment="1">
      <alignment horizontal="center" vertical="center"/>
    </xf>
    <xf numFmtId="0" fontId="9" fillId="15" borderId="10" xfId="0" applyFont="1" applyFill="1" applyBorder="1" applyAlignment="1">
      <alignment horizontal="center" vertical="center"/>
    </xf>
    <xf numFmtId="0" fontId="9" fillId="15" borderId="14" xfId="0" applyFont="1" applyFill="1" applyBorder="1" applyAlignment="1">
      <alignment horizontal="center" vertical="center"/>
    </xf>
    <xf numFmtId="0" fontId="9" fillId="15" borderId="11" xfId="0" applyFont="1" applyFill="1" applyBorder="1" applyAlignment="1">
      <alignment horizontal="center" vertical="center"/>
    </xf>
    <xf numFmtId="0" fontId="9" fillId="15" borderId="43" xfId="0" applyFont="1" applyFill="1" applyBorder="1" applyAlignment="1">
      <alignment horizontal="center" vertical="center"/>
    </xf>
    <xf numFmtId="0" fontId="9" fillId="15" borderId="15" xfId="0" applyFont="1" applyFill="1" applyBorder="1" applyAlignment="1">
      <alignment horizontal="center" vertical="center"/>
    </xf>
    <xf numFmtId="0" fontId="9" fillId="15" borderId="37" xfId="0" applyFont="1" applyFill="1" applyBorder="1" applyAlignment="1">
      <alignment horizontal="center" vertical="center"/>
    </xf>
    <xf numFmtId="0" fontId="9" fillId="15" borderId="1" xfId="0" applyFont="1" applyFill="1" applyBorder="1" applyAlignment="1">
      <alignment horizontal="center" vertical="center"/>
    </xf>
    <xf numFmtId="0" fontId="9" fillId="15" borderId="57" xfId="0" applyFont="1" applyFill="1" applyBorder="1" applyAlignment="1" applyProtection="1">
      <alignment horizontal="center" vertical="center" wrapText="1"/>
    </xf>
    <xf numFmtId="0" fontId="0" fillId="0" borderId="0" xfId="0" applyBorder="1" applyAlignment="1">
      <alignment horizontal="right" vertical="center"/>
    </xf>
    <xf numFmtId="0" fontId="9" fillId="0" borderId="10" xfId="0" applyFont="1" applyBorder="1" applyAlignment="1" applyProtection="1">
      <alignment horizontal="center" vertical="center" wrapText="1"/>
    </xf>
    <xf numFmtId="0" fontId="9" fillId="15" borderId="25" xfId="0" applyFont="1" applyFill="1" applyBorder="1" applyAlignment="1">
      <alignment horizontal="center" vertical="center"/>
    </xf>
    <xf numFmtId="0" fontId="9" fillId="15" borderId="2" xfId="0" applyFont="1" applyFill="1" applyBorder="1" applyAlignment="1">
      <alignment horizontal="center" vertical="center"/>
    </xf>
    <xf numFmtId="0" fontId="9" fillId="0" borderId="58" xfId="0" applyFont="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9" fillId="15" borderId="14" xfId="0" applyFont="1" applyFill="1" applyBorder="1" applyAlignment="1" applyProtection="1">
      <alignment horizontal="center" vertical="center"/>
    </xf>
    <xf numFmtId="0" fontId="9" fillId="15" borderId="14" xfId="0" applyFont="1" applyFill="1" applyBorder="1" applyAlignment="1">
      <alignment vertical="center"/>
    </xf>
    <xf numFmtId="0" fontId="9" fillId="15" borderId="7" xfId="0" applyFont="1" applyFill="1" applyBorder="1" applyAlignment="1">
      <alignment horizontal="center"/>
    </xf>
    <xf numFmtId="0" fontId="9" fillId="15" borderId="9" xfId="0" applyFont="1" applyFill="1" applyBorder="1" applyAlignment="1">
      <alignment horizontal="center"/>
    </xf>
    <xf numFmtId="0" fontId="9" fillId="15" borderId="8" xfId="0" applyFont="1" applyFill="1" applyBorder="1" applyAlignment="1">
      <alignment horizontal="center"/>
    </xf>
    <xf numFmtId="0" fontId="9" fillId="15" borderId="20" xfId="0" applyFont="1" applyFill="1" applyBorder="1" applyAlignment="1">
      <alignment horizontal="center"/>
    </xf>
    <xf numFmtId="0" fontId="9" fillId="15" borderId="28" xfId="0" applyFont="1" applyFill="1" applyBorder="1" applyAlignment="1">
      <alignment horizontal="center"/>
    </xf>
    <xf numFmtId="0" fontId="9" fillId="15" borderId="10" xfId="0" applyFont="1" applyFill="1" applyBorder="1" applyAlignment="1">
      <alignment horizontal="center"/>
    </xf>
    <xf numFmtId="0" fontId="9" fillId="15" borderId="14" xfId="0" applyFont="1" applyFill="1" applyBorder="1" applyAlignment="1">
      <alignment horizontal="center"/>
    </xf>
    <xf numFmtId="0" fontId="9" fillId="15" borderId="11" xfId="0" applyFont="1" applyFill="1" applyBorder="1" applyAlignment="1">
      <alignment horizontal="center"/>
    </xf>
    <xf numFmtId="0" fontId="9" fillId="15" borderId="34" xfId="0" applyFont="1" applyFill="1" applyBorder="1" applyAlignment="1">
      <alignment horizontal="center" vertical="center"/>
    </xf>
    <xf numFmtId="0" fontId="9" fillId="15" borderId="66" xfId="0" applyFont="1" applyFill="1" applyBorder="1" applyAlignment="1">
      <alignment horizontal="center" vertical="center"/>
    </xf>
    <xf numFmtId="0" fontId="9" fillId="15" borderId="35" xfId="0" applyFont="1" applyFill="1" applyBorder="1" applyAlignment="1">
      <alignment horizontal="center" vertical="center"/>
    </xf>
    <xf numFmtId="0" fontId="9" fillId="15" borderId="57" xfId="0" applyFont="1" applyFill="1" applyBorder="1" applyAlignment="1">
      <alignment horizontal="center"/>
    </xf>
    <xf numFmtId="0" fontId="6" fillId="0" borderId="0" xfId="0" applyFont="1" applyBorder="1" applyAlignment="1" applyProtection="1">
      <alignment horizontal="right" vertical="center"/>
    </xf>
    <xf numFmtId="0" fontId="6" fillId="0" borderId="4" xfId="0" applyFont="1" applyBorder="1" applyAlignment="1" applyProtection="1">
      <alignment horizontal="right" vertical="center"/>
    </xf>
    <xf numFmtId="0" fontId="9" fillId="6" borderId="0" xfId="0" applyFont="1" applyFill="1" applyBorder="1" applyAlignment="1">
      <alignment horizontal="right" vertical="center"/>
    </xf>
    <xf numFmtId="0" fontId="9" fillId="6" borderId="4" xfId="0" applyFont="1" applyFill="1" applyBorder="1" applyAlignment="1">
      <alignment horizontal="right" vertical="center"/>
    </xf>
    <xf numFmtId="0" fontId="9" fillId="6" borderId="0" xfId="0" applyFont="1" applyFill="1" applyBorder="1" applyAlignment="1" applyProtection="1">
      <alignment horizontal="right" vertical="center"/>
    </xf>
    <xf numFmtId="0" fontId="9" fillId="6" borderId="4" xfId="0" applyFont="1" applyFill="1" applyBorder="1" applyAlignment="1" applyProtection="1">
      <alignment horizontal="right" vertical="center"/>
    </xf>
    <xf numFmtId="0" fontId="7" fillId="0" borderId="13" xfId="0" applyFont="1" applyBorder="1" applyAlignment="1" applyProtection="1">
      <alignment horizontal="right" vertical="center"/>
    </xf>
    <xf numFmtId="0" fontId="7" fillId="0" borderId="12" xfId="0" applyFont="1" applyBorder="1" applyAlignment="1" applyProtection="1">
      <alignment horizontal="right" vertical="center"/>
    </xf>
    <xf numFmtId="0" fontId="6" fillId="7" borderId="14" xfId="0"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0" fontId="7" fillId="0" borderId="14" xfId="0" applyFont="1" applyBorder="1" applyAlignment="1">
      <alignment horizontal="right" vertical="center"/>
    </xf>
    <xf numFmtId="0" fontId="10" fillId="0" borderId="14" xfId="0" applyNumberFormat="1" applyFont="1" applyBorder="1" applyAlignment="1" applyProtection="1">
      <alignment horizontal="center" vertical="center" textRotation="90"/>
    </xf>
    <xf numFmtId="0" fontId="10" fillId="0" borderId="18"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0" fillId="0" borderId="18" xfId="0" applyBorder="1" applyAlignment="1" applyProtection="1">
      <alignment wrapText="1"/>
    </xf>
    <xf numFmtId="0" fontId="0" fillId="0" borderId="15" xfId="0" applyBorder="1" applyAlignment="1" applyProtection="1">
      <alignment wrapText="1"/>
    </xf>
    <xf numFmtId="0" fontId="0" fillId="0" borderId="16" xfId="0" applyBorder="1" applyAlignment="1" applyProtection="1">
      <alignment wrapText="1"/>
    </xf>
    <xf numFmtId="0" fontId="0" fillId="0" borderId="5" xfId="0" applyBorder="1" applyAlignment="1" applyProtection="1">
      <alignment wrapText="1"/>
    </xf>
    <xf numFmtId="0" fontId="0" fillId="0" borderId="1" xfId="0" applyBorder="1" applyAlignment="1" applyProtection="1">
      <alignment wrapText="1"/>
    </xf>
    <xf numFmtId="0" fontId="0" fillId="0" borderId="6" xfId="0" applyBorder="1" applyAlignment="1" applyProtection="1">
      <alignment wrapText="1"/>
    </xf>
    <xf numFmtId="0" fontId="10" fillId="11" borderId="13" xfId="0" applyFont="1" applyFill="1" applyBorder="1" applyAlignment="1" applyProtection="1">
      <alignment vertical="center"/>
    </xf>
    <xf numFmtId="0" fontId="0" fillId="0" borderId="17" xfId="0" applyBorder="1" applyAlignment="1">
      <alignment vertical="center"/>
    </xf>
    <xf numFmtId="0" fontId="0" fillId="0" borderId="12" xfId="0" applyBorder="1" applyAlignment="1">
      <alignment vertical="center"/>
    </xf>
    <xf numFmtId="0" fontId="9" fillId="0" borderId="13" xfId="0" applyNumberFormat="1" applyFont="1" applyBorder="1" applyAlignment="1" applyProtection="1"/>
    <xf numFmtId="0" fontId="0" fillId="0" borderId="17" xfId="0" applyBorder="1" applyAlignment="1"/>
    <xf numFmtId="0" fontId="0" fillId="0" borderId="12" xfId="0" applyBorder="1" applyAlignment="1"/>
    <xf numFmtId="0" fontId="6" fillId="7" borderId="13" xfId="0" applyNumberFormat="1" applyFont="1" applyFill="1" applyBorder="1" applyAlignment="1" applyProtection="1">
      <alignment vertical="center"/>
      <protection locked="0"/>
    </xf>
    <xf numFmtId="0" fontId="0" fillId="0" borderId="17" xfId="0" applyNumberFormat="1" applyBorder="1" applyAlignment="1" applyProtection="1">
      <alignment vertical="center"/>
      <protection locked="0"/>
    </xf>
    <xf numFmtId="0" fontId="10" fillId="0" borderId="13" xfId="0" applyFont="1" applyBorder="1" applyAlignment="1" applyProtection="1">
      <alignment horizontal="center" vertical="center"/>
    </xf>
    <xf numFmtId="0" fontId="0" fillId="0" borderId="17" xfId="0" applyBorder="1" applyAlignment="1">
      <alignment horizontal="center" vertical="center"/>
    </xf>
    <xf numFmtId="0" fontId="7" fillId="21" borderId="14" xfId="0" applyFont="1" applyFill="1" applyBorder="1" applyAlignment="1">
      <alignment horizontal="center" wrapText="1"/>
    </xf>
    <xf numFmtId="0" fontId="0" fillId="17" borderId="17" xfId="0" applyFill="1" applyBorder="1" applyAlignment="1">
      <alignment horizontal="right"/>
    </xf>
    <xf numFmtId="0" fontId="0" fillId="17" borderId="12" xfId="0" applyFill="1" applyBorder="1" applyAlignment="1">
      <alignment horizontal="right"/>
    </xf>
    <xf numFmtId="0" fontId="0" fillId="17" borderId="18" xfId="0" applyFill="1" applyBorder="1" applyAlignment="1" applyProtection="1">
      <alignment horizontal="center" vertical="center" wrapText="1"/>
    </xf>
    <xf numFmtId="0" fontId="0" fillId="17" borderId="16" xfId="0" applyFill="1" applyBorder="1" applyAlignment="1" applyProtection="1">
      <alignment horizontal="center" vertical="center" wrapText="1"/>
    </xf>
    <xf numFmtId="0" fontId="0" fillId="17" borderId="3" xfId="0" applyFill="1" applyBorder="1" applyAlignment="1" applyProtection="1">
      <alignment horizontal="center" vertical="center" wrapText="1"/>
    </xf>
    <xf numFmtId="0" fontId="0" fillId="17" borderId="4" xfId="0" applyFill="1" applyBorder="1" applyAlignment="1" applyProtection="1">
      <alignment horizontal="center" vertical="center" wrapText="1"/>
    </xf>
    <xf numFmtId="0" fontId="0" fillId="17" borderId="5" xfId="0" applyFill="1" applyBorder="1" applyAlignment="1" applyProtection="1">
      <alignment horizontal="center" vertical="center" wrapText="1"/>
    </xf>
    <xf numFmtId="0" fontId="0" fillId="17" borderId="6" xfId="0"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7" borderId="13" xfId="0" applyNumberFormat="1" applyFont="1" applyFill="1" applyBorder="1" applyAlignment="1" applyProtection="1">
      <alignment horizontal="center" vertical="center"/>
      <protection locked="0"/>
    </xf>
    <xf numFmtId="0" fontId="6" fillId="7" borderId="12" xfId="0" applyNumberFormat="1" applyFont="1" applyFill="1" applyBorder="1" applyAlignment="1" applyProtection="1">
      <alignment horizontal="center" vertical="center"/>
      <protection locked="0"/>
    </xf>
    <xf numFmtId="0" fontId="9" fillId="11" borderId="14" xfId="0" applyFont="1" applyFill="1" applyBorder="1" applyAlignment="1" applyProtection="1">
      <alignment horizontal="center" vertical="center" wrapText="1"/>
    </xf>
    <xf numFmtId="0" fontId="0" fillId="3" borderId="17" xfId="0" applyFill="1" applyBorder="1" applyAlignment="1" applyProtection="1"/>
    <xf numFmtId="0" fontId="9" fillId="11" borderId="60" xfId="0" applyFont="1" applyFill="1" applyBorder="1" applyAlignment="1" applyProtection="1">
      <alignment horizontal="center" vertical="center" wrapText="1"/>
    </xf>
    <xf numFmtId="0" fontId="9" fillId="11" borderId="61" xfId="0" applyFont="1" applyFill="1" applyBorder="1" applyAlignment="1" applyProtection="1">
      <alignment horizontal="center" vertical="center" wrapText="1"/>
    </xf>
    <xf numFmtId="0" fontId="9" fillId="11" borderId="62" xfId="0" applyFont="1" applyFill="1" applyBorder="1" applyAlignment="1" applyProtection="1">
      <alignment horizontal="center" vertical="center" wrapText="1"/>
    </xf>
    <xf numFmtId="2" fontId="6" fillId="7" borderId="60" xfId="0" applyNumberFormat="1" applyFont="1" applyFill="1" applyBorder="1" applyAlignment="1" applyProtection="1">
      <alignment horizontal="left" vertical="center"/>
      <protection locked="0"/>
    </xf>
    <xf numFmtId="2" fontId="6" fillId="7" borderId="61" xfId="0" applyNumberFormat="1" applyFont="1" applyFill="1" applyBorder="1" applyAlignment="1" applyProtection="1">
      <alignment horizontal="left" vertical="center"/>
      <protection locked="0"/>
    </xf>
    <xf numFmtId="2" fontId="6" fillId="7" borderId="62" xfId="0" applyNumberFormat="1" applyFont="1" applyFill="1" applyBorder="1" applyAlignment="1" applyProtection="1">
      <alignment horizontal="left" vertical="center"/>
      <protection locked="0"/>
    </xf>
    <xf numFmtId="0" fontId="9" fillId="0" borderId="0" xfId="0" applyFont="1" applyBorder="1" applyAlignment="1" applyProtection="1">
      <alignment horizontal="right" vertical="center"/>
    </xf>
    <xf numFmtId="0" fontId="9" fillId="0" borderId="4" xfId="0" applyFont="1" applyBorder="1" applyAlignment="1" applyProtection="1">
      <alignment horizontal="right" vertical="center"/>
    </xf>
    <xf numFmtId="0" fontId="0" fillId="8" borderId="62" xfId="0" applyFill="1" applyBorder="1" applyAlignment="1" applyProtection="1">
      <alignment horizontal="center" vertical="center"/>
      <protection locked="0"/>
    </xf>
    <xf numFmtId="0" fontId="8" fillId="17" borderId="18" xfId="0" applyFont="1" applyFill="1" applyBorder="1" applyAlignment="1" applyProtection="1">
      <alignment horizontal="center" vertical="center" wrapText="1"/>
    </xf>
    <xf numFmtId="0" fontId="14" fillId="17" borderId="15" xfId="0" applyFont="1" applyFill="1" applyBorder="1" applyAlignment="1">
      <alignment horizontal="center" wrapText="1"/>
    </xf>
    <xf numFmtId="0" fontId="14" fillId="17" borderId="16" xfId="0" applyFont="1" applyFill="1" applyBorder="1" applyAlignment="1">
      <alignment horizontal="center" wrapText="1"/>
    </xf>
    <xf numFmtId="0" fontId="14" fillId="17" borderId="3" xfId="0" applyFont="1" applyFill="1" applyBorder="1" applyAlignment="1">
      <alignment horizontal="center" wrapText="1"/>
    </xf>
    <xf numFmtId="0" fontId="14" fillId="17" borderId="0" xfId="0" applyFont="1" applyFill="1" applyBorder="1" applyAlignment="1">
      <alignment horizontal="center" wrapText="1"/>
    </xf>
    <xf numFmtId="0" fontId="14" fillId="17" borderId="4" xfId="0" applyFont="1" applyFill="1" applyBorder="1" applyAlignment="1">
      <alignment horizontal="center" wrapText="1"/>
    </xf>
    <xf numFmtId="0" fontId="14" fillId="17" borderId="5" xfId="0" applyFont="1" applyFill="1" applyBorder="1" applyAlignment="1">
      <alignment horizontal="center" wrapText="1"/>
    </xf>
    <xf numFmtId="0" fontId="14" fillId="17" borderId="1" xfId="0" applyFont="1" applyFill="1" applyBorder="1" applyAlignment="1">
      <alignment horizontal="center" wrapText="1"/>
    </xf>
    <xf numFmtId="0" fontId="14" fillId="17" borderId="6" xfId="0" applyFont="1" applyFill="1" applyBorder="1" applyAlignment="1">
      <alignment horizontal="center" wrapText="1"/>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2" xfId="0" applyNumberFormat="1" applyBorder="1" applyAlignment="1" applyProtection="1">
      <alignment horizontal="center" vertical="center"/>
      <protection locked="0"/>
    </xf>
    <xf numFmtId="0" fontId="0" fillId="0" borderId="18" xfId="0" applyBorder="1" applyAlignment="1">
      <alignment wrapText="1"/>
    </xf>
    <xf numFmtId="0" fontId="0" fillId="0" borderId="16" xfId="0" applyBorder="1" applyAlignment="1">
      <alignment wrapText="1"/>
    </xf>
    <xf numFmtId="0" fontId="0" fillId="0" borderId="5" xfId="0" applyBorder="1" applyAlignment="1">
      <alignment wrapText="1"/>
    </xf>
    <xf numFmtId="0" fontId="0" fillId="0" borderId="6" xfId="0" applyBorder="1" applyAlignment="1">
      <alignment wrapText="1"/>
    </xf>
    <xf numFmtId="0" fontId="9" fillId="0" borderId="13" xfId="0" applyFont="1" applyBorder="1" applyAlignment="1"/>
    <xf numFmtId="0" fontId="6" fillId="0" borderId="60" xfId="0" applyFont="1" applyFill="1" applyBorder="1" applyAlignment="1" applyProtection="1">
      <alignment horizontal="center" vertical="center"/>
    </xf>
    <xf numFmtId="0" fontId="0" fillId="0" borderId="62" xfId="0" applyFill="1" applyBorder="1" applyAlignment="1" applyProtection="1">
      <alignment horizontal="center" vertical="center"/>
    </xf>
    <xf numFmtId="166" fontId="6" fillId="8" borderId="60" xfId="0" applyNumberFormat="1" applyFont="1" applyFill="1" applyBorder="1" applyAlignment="1" applyProtection="1">
      <alignment horizontal="center" vertical="center"/>
      <protection locked="0"/>
    </xf>
    <xf numFmtId="166" fontId="0" fillId="0" borderId="62" xfId="0" applyNumberFormat="1" applyBorder="1" applyAlignment="1" applyProtection="1">
      <alignment horizontal="center" vertical="center"/>
      <protection locked="0"/>
    </xf>
    <xf numFmtId="0" fontId="8" fillId="3" borderId="13" xfId="0" applyFont="1" applyFill="1" applyBorder="1" applyAlignment="1"/>
    <xf numFmtId="0" fontId="6" fillId="3" borderId="17" xfId="0" applyFont="1" applyFill="1" applyBorder="1" applyAlignment="1">
      <alignment horizontal="left" wrapText="1"/>
    </xf>
    <xf numFmtId="0" fontId="6" fillId="3" borderId="12" xfId="0" applyFont="1" applyFill="1" applyBorder="1" applyAlignment="1">
      <alignment horizontal="left" wrapText="1"/>
    </xf>
    <xf numFmtId="0" fontId="10" fillId="0" borderId="16"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166" fontId="9" fillId="8" borderId="60" xfId="0" applyNumberFormat="1" applyFont="1" applyFill="1" applyBorder="1" applyAlignment="1" applyProtection="1">
      <alignment horizontal="center" vertical="center"/>
      <protection locked="0"/>
    </xf>
    <xf numFmtId="166" fontId="9" fillId="0" borderId="62" xfId="0" applyNumberFormat="1" applyFont="1" applyBorder="1" applyAlignment="1" applyProtection="1">
      <alignment horizontal="center" vertical="center"/>
      <protection locked="0"/>
    </xf>
    <xf numFmtId="0" fontId="6" fillId="3" borderId="61" xfId="0" applyFont="1" applyFill="1" applyBorder="1" applyAlignment="1">
      <alignment horizontal="right" wrapText="1"/>
    </xf>
    <xf numFmtId="0" fontId="6" fillId="3" borderId="62" xfId="0" applyFont="1" applyFill="1" applyBorder="1" applyAlignment="1">
      <alignment horizontal="right" wrapText="1"/>
    </xf>
    <xf numFmtId="0" fontId="9" fillId="0" borderId="60" xfId="0" applyFont="1" applyBorder="1" applyAlignment="1"/>
    <xf numFmtId="0" fontId="9" fillId="0" borderId="61" xfId="0" applyFont="1" applyBorder="1" applyAlignment="1"/>
    <xf numFmtId="0" fontId="9" fillId="0" borderId="62" xfId="0" applyFont="1" applyBorder="1" applyAlignment="1"/>
    <xf numFmtId="0" fontId="9" fillId="9" borderId="60" xfId="0" applyFont="1" applyFill="1" applyBorder="1" applyAlignment="1" applyProtection="1">
      <alignment horizontal="right" vertical="center"/>
    </xf>
    <xf numFmtId="0" fontId="9" fillId="9" borderId="61" xfId="0" applyFont="1" applyFill="1" applyBorder="1" applyAlignment="1" applyProtection="1">
      <alignment horizontal="right" vertical="center"/>
    </xf>
    <xf numFmtId="0" fontId="6" fillId="0" borderId="3" xfId="0" applyFont="1" applyBorder="1" applyAlignment="1" applyProtection="1">
      <alignment horizontal="right" vertical="center"/>
    </xf>
    <xf numFmtId="0" fontId="9" fillId="0" borderId="3" xfId="0" applyFont="1" applyBorder="1" applyAlignment="1" applyProtection="1">
      <alignment horizontal="right" vertical="center"/>
    </xf>
    <xf numFmtId="0" fontId="10" fillId="0" borderId="0" xfId="0" applyFont="1" applyBorder="1" applyAlignment="1" applyProtection="1">
      <alignment horizontal="right" vertical="center"/>
    </xf>
    <xf numFmtId="0" fontId="7" fillId="17" borderId="14" xfId="0" applyFont="1" applyFill="1" applyBorder="1" applyAlignment="1" applyProtection="1">
      <alignment horizontal="center" vertical="center"/>
    </xf>
    <xf numFmtId="0" fontId="7" fillId="7" borderId="60" xfId="0" applyFont="1" applyFill="1" applyBorder="1" applyAlignment="1" applyProtection="1">
      <alignment horizontal="center" vertical="center"/>
      <protection locked="0"/>
    </xf>
    <xf numFmtId="0" fontId="7" fillId="7" borderId="61" xfId="0" applyFont="1" applyFill="1" applyBorder="1" applyAlignment="1" applyProtection="1">
      <alignment horizontal="center" vertical="center"/>
      <protection locked="0"/>
    </xf>
    <xf numFmtId="0" fontId="7" fillId="7" borderId="62" xfId="0" applyFont="1" applyFill="1" applyBorder="1" applyAlignment="1" applyProtection="1">
      <alignment horizontal="center" vertical="center"/>
      <protection locked="0"/>
    </xf>
    <xf numFmtId="0" fontId="18" fillId="4" borderId="0" xfId="0" applyFont="1" applyFill="1" applyAlignment="1">
      <alignment horizontal="center" vertical="center" wrapText="1"/>
    </xf>
    <xf numFmtId="0" fontId="15" fillId="0" borderId="18"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0" fillId="0" borderId="18" xfId="0" applyBorder="1" applyAlignment="1"/>
    <xf numFmtId="0" fontId="0" fillId="0" borderId="15" xfId="0" applyBorder="1" applyAlignment="1"/>
    <xf numFmtId="0" fontId="0" fillId="0" borderId="16" xfId="0" applyBorder="1" applyAlignment="1"/>
    <xf numFmtId="0" fontId="11" fillId="0" borderId="18" xfId="0" applyFont="1" applyBorder="1" applyAlignment="1">
      <alignment horizontal="center"/>
    </xf>
    <xf numFmtId="0" fontId="11" fillId="0" borderId="16" xfId="0" applyFont="1" applyBorder="1" applyAlignment="1">
      <alignment horizontal="center"/>
    </xf>
    <xf numFmtId="0" fontId="29" fillId="8" borderId="25" xfId="5" applyFont="1" applyFill="1" applyBorder="1" applyAlignment="1">
      <alignment horizontal="left" vertical="center" wrapText="1"/>
    </xf>
    <xf numFmtId="0" fontId="29" fillId="8" borderId="2" xfId="5" applyFont="1" applyFill="1" applyBorder="1" applyAlignment="1">
      <alignment horizontal="left" vertical="center" wrapText="1"/>
    </xf>
    <xf numFmtId="0" fontId="29" fillId="8" borderId="26" xfId="5" applyFont="1" applyFill="1" applyBorder="1" applyAlignment="1">
      <alignment horizontal="left" vertical="center" wrapText="1"/>
    </xf>
    <xf numFmtId="0" fontId="6" fillId="20" borderId="25" xfId="7" applyFont="1" applyFill="1" applyBorder="1" applyAlignment="1">
      <alignment horizontal="right"/>
    </xf>
    <xf numFmtId="0" fontId="6" fillId="20" borderId="2" xfId="7" applyFont="1" applyFill="1" applyBorder="1" applyAlignment="1">
      <alignment horizontal="right"/>
    </xf>
    <xf numFmtId="0" fontId="6" fillId="12" borderId="21" xfId="7" applyFont="1" applyFill="1" applyBorder="1" applyAlignment="1">
      <alignment horizontal="right"/>
    </xf>
    <xf numFmtId="0" fontId="6" fillId="12" borderId="0" xfId="7" applyFont="1" applyFill="1" applyBorder="1" applyAlignment="1">
      <alignment horizontal="right"/>
    </xf>
    <xf numFmtId="0" fontId="6" fillId="9" borderId="21" xfId="7" applyFont="1" applyFill="1" applyBorder="1" applyAlignment="1">
      <alignment horizontal="right"/>
    </xf>
    <xf numFmtId="0" fontId="6" fillId="9" borderId="0" xfId="7" applyFont="1" applyFill="1" applyBorder="1" applyAlignment="1">
      <alignment horizontal="right"/>
    </xf>
    <xf numFmtId="0" fontId="6" fillId="13" borderId="23" xfId="7" applyFill="1" applyBorder="1" applyAlignment="1">
      <alignment horizontal="right"/>
    </xf>
    <xf numFmtId="0" fontId="6" fillId="13" borderId="22" xfId="7" applyFill="1" applyBorder="1" applyAlignment="1">
      <alignment horizontal="right"/>
    </xf>
    <xf numFmtId="0" fontId="0" fillId="2" borderId="13" xfId="0" applyFill="1" applyBorder="1" applyAlignment="1">
      <alignment horizontal="center"/>
    </xf>
    <xf numFmtId="0" fontId="0" fillId="2" borderId="17" xfId="0" applyFill="1" applyBorder="1" applyAlignment="1">
      <alignment horizontal="center"/>
    </xf>
    <xf numFmtId="0" fontId="0" fillId="2" borderId="12" xfId="0" applyFill="1" applyBorder="1" applyAlignment="1">
      <alignment horizontal="center"/>
    </xf>
    <xf numFmtId="0" fontId="0" fillId="5" borderId="13" xfId="0" applyFill="1" applyBorder="1" applyAlignment="1">
      <alignment horizontal="center"/>
    </xf>
    <xf numFmtId="0" fontId="0" fillId="5" borderId="12" xfId="0" applyFill="1" applyBorder="1" applyAlignment="1">
      <alignment horizontal="center"/>
    </xf>
    <xf numFmtId="0" fontId="6" fillId="5" borderId="60" xfId="0" applyFont="1" applyFill="1" applyBorder="1"/>
    <xf numFmtId="0" fontId="0" fillId="5" borderId="61" xfId="0" applyFill="1" applyBorder="1"/>
    <xf numFmtId="0" fontId="0" fillId="5" borderId="62" xfId="0" applyFill="1" applyBorder="1"/>
    <xf numFmtId="0" fontId="0" fillId="5" borderId="60" xfId="0" applyFill="1" applyBorder="1" applyAlignment="1">
      <alignment horizontal="left"/>
    </xf>
    <xf numFmtId="0" fontId="0" fillId="5" borderId="62" xfId="0" applyFill="1" applyBorder="1" applyAlignment="1">
      <alignment horizontal="left"/>
    </xf>
    <xf numFmtId="0" fontId="36" fillId="17" borderId="1" xfId="0" applyFont="1" applyFill="1" applyBorder="1"/>
  </cellXfs>
  <cellStyles count="32">
    <cellStyle name="Dezimal 2" xfId="16"/>
    <cellStyle name="Euro" xfId="1"/>
    <cellStyle name="Hyperlink" xfId="8" builtinId="8"/>
    <cellStyle name="Normal" xfId="0" builtinId="0"/>
    <cellStyle name="Percent" xfId="2" builtinId="5"/>
    <cellStyle name="Standard 2" xfId="4"/>
    <cellStyle name="Standard 2 2" xfId="10"/>
    <cellStyle name="Standard 2 2 2" xfId="14"/>
    <cellStyle name="Standard 2 2 2 2" xfId="29"/>
    <cellStyle name="Standard 2 2 3" xfId="22"/>
    <cellStyle name="Standard 2 3" xfId="12"/>
    <cellStyle name="Standard 2 3 2" xfId="26"/>
    <cellStyle name="Standard 2 4" xfId="31"/>
    <cellStyle name="Standard 2 5" xfId="19"/>
    <cellStyle name="Standard 3" xfId="6"/>
    <cellStyle name="Standard 3 2" xfId="11"/>
    <cellStyle name="Standard 3 2 2" xfId="15"/>
    <cellStyle name="Standard 3 2 2 2" xfId="30"/>
    <cellStyle name="Standard 3 2 3" xfId="23"/>
    <cellStyle name="Standard 3 3" xfId="13"/>
    <cellStyle name="Standard 3 3 2" xfId="27"/>
    <cellStyle name="Standard 3 4" xfId="20"/>
    <cellStyle name="Standard 4" xfId="7"/>
    <cellStyle name="Standard_Tabelle1" xfId="5"/>
    <cellStyle name="Währung 2" xfId="3"/>
    <cellStyle name="Währung 2 2" xfId="9"/>
    <cellStyle name="Währung 2 2 2" xfId="28"/>
    <cellStyle name="Währung 2 2 3" xfId="21"/>
    <cellStyle name="Währung 2 3" xfId="25"/>
    <cellStyle name="Währung 2 4" xfId="18"/>
    <cellStyle name="Währung 3" xfId="24"/>
    <cellStyle name="Währung 4" xfId="17"/>
  </cellStyles>
  <dxfs count="13">
    <dxf>
      <font>
        <b/>
        <i val="0"/>
        <condense val="0"/>
        <extend val="0"/>
        <color indexed="9"/>
      </font>
      <fill>
        <patternFill>
          <bgColor indexed="10"/>
        </patternFill>
      </fill>
    </dxf>
    <dxf>
      <font>
        <b/>
        <i val="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C00000"/>
      </font>
      <fill>
        <patternFill>
          <bgColor rgb="FFFFFF00"/>
        </patternFill>
      </fill>
    </dxf>
    <dxf>
      <font>
        <b/>
        <i val="0"/>
        <color rgb="FFFF0000"/>
      </font>
    </dxf>
    <dxf>
      <font>
        <b/>
        <i/>
        <color theme="7" tint="-0.24994659260841701"/>
      </font>
      <fill>
        <patternFill>
          <bgColor theme="9" tint="0.79998168889431442"/>
        </patternFill>
      </fill>
    </dxf>
    <dxf>
      <font>
        <b/>
        <i val="0"/>
        <color rgb="FFFFFF00"/>
      </font>
      <fill>
        <patternFill>
          <bgColor rgb="FFFF0000"/>
        </patternFill>
      </fill>
    </dxf>
    <dxf>
      <fill>
        <patternFill>
          <bgColor theme="9" tint="0.59996337778862885"/>
        </patternFill>
      </fill>
    </dxf>
    <dxf>
      <font>
        <b/>
        <i val="0"/>
        <color rgb="FFFF0000"/>
      </font>
    </dxf>
    <dxf>
      <fill>
        <patternFill>
          <bgColor theme="9"/>
        </patternFill>
      </fill>
    </dxf>
    <dxf>
      <fill>
        <patternFill>
          <bgColor theme="9"/>
        </patternFill>
      </fill>
    </dxf>
    <dxf>
      <font>
        <b/>
        <i val="0"/>
        <condense val="0"/>
        <extend val="0"/>
        <color indexed="9"/>
      </font>
      <fill>
        <patternFill>
          <bgColor indexed="10"/>
        </patternFill>
      </fill>
    </dxf>
  </dxfs>
  <tableStyles count="0" defaultTableStyle="TableStyleMedium9" defaultPivotStyle="PivotStyleLight16"/>
  <colors>
    <mruColors>
      <color rgb="FFFFFF99"/>
      <color rgb="FFCCFFFF"/>
      <color rgb="FFCCFF99"/>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152400</xdr:colOff>
      <xdr:row>0</xdr:row>
      <xdr:rowOff>28575</xdr:rowOff>
    </xdr:from>
    <xdr:to>
      <xdr:col>11</xdr:col>
      <xdr:colOff>523875</xdr:colOff>
      <xdr:row>1</xdr:row>
      <xdr:rowOff>257175</xdr:rowOff>
    </xdr:to>
    <xdr:pic>
      <xdr:nvPicPr>
        <xdr:cNvPr id="1025" name="Picture 1" descr="Logo_d"/>
        <xdr:cNvPicPr>
          <a:picLocks noChangeArrowheads="1"/>
        </xdr:cNvPicPr>
      </xdr:nvPicPr>
      <xdr:blipFill>
        <a:blip xmlns:r="http://schemas.openxmlformats.org/officeDocument/2006/relationships" r:embed="rId1" cstate="print"/>
        <a:srcRect/>
        <a:stretch>
          <a:fillRect/>
        </a:stretch>
      </xdr:blipFill>
      <xdr:spPr bwMode="auto">
        <a:xfrm>
          <a:off x="5162550" y="28575"/>
          <a:ext cx="100012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600079</xdr:colOff>
      <xdr:row>0</xdr:row>
      <xdr:rowOff>19050</xdr:rowOff>
    </xdr:from>
    <xdr:to>
      <xdr:col>11</xdr:col>
      <xdr:colOff>209551</xdr:colOff>
      <xdr:row>1</xdr:row>
      <xdr:rowOff>276225</xdr:rowOff>
    </xdr:to>
    <xdr:pic>
      <xdr:nvPicPr>
        <xdr:cNvPr id="2" name="Picture 38" descr="Logo_d"/>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tretch>
          <a:fillRect/>
        </a:stretch>
      </xdr:blipFill>
      <xdr:spPr bwMode="auto">
        <a:xfrm>
          <a:off x="5200654" y="19050"/>
          <a:ext cx="866772"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0</xdr:row>
      <xdr:rowOff>28575</xdr:rowOff>
    </xdr:from>
    <xdr:to>
      <xdr:col>8</xdr:col>
      <xdr:colOff>361949</xdr:colOff>
      <xdr:row>1</xdr:row>
      <xdr:rowOff>209550</xdr:rowOff>
    </xdr:to>
    <xdr:pic>
      <xdr:nvPicPr>
        <xdr:cNvPr id="2" name="Picture 1" descr="Logo_d"/>
        <xdr:cNvPicPr>
          <a:picLocks noChangeArrowheads="1"/>
        </xdr:cNvPicPr>
      </xdr:nvPicPr>
      <xdr:blipFill>
        <a:blip xmlns:r="http://schemas.openxmlformats.org/officeDocument/2006/relationships" r:embed="rId1" cstate="print"/>
        <a:srcRect/>
        <a:stretch>
          <a:fillRect/>
        </a:stretch>
      </xdr:blipFill>
      <xdr:spPr bwMode="auto">
        <a:xfrm>
          <a:off x="5486400" y="28575"/>
          <a:ext cx="857249"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104775</xdr:colOff>
      <xdr:row>0</xdr:row>
      <xdr:rowOff>0</xdr:rowOff>
    </xdr:from>
    <xdr:to>
      <xdr:col>9</xdr:col>
      <xdr:colOff>257175</xdr:colOff>
      <xdr:row>2</xdr:row>
      <xdr:rowOff>0</xdr:rowOff>
    </xdr:to>
    <xdr:pic>
      <xdr:nvPicPr>
        <xdr:cNvPr id="2" name="Picture 4" descr="Logo_d"/>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5438775" y="0"/>
          <a:ext cx="914400" cy="590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0</xdr:row>
      <xdr:rowOff>0</xdr:rowOff>
    </xdr:from>
    <xdr:to>
      <xdr:col>7</xdr:col>
      <xdr:colOff>257175</xdr:colOff>
      <xdr:row>2</xdr:row>
      <xdr:rowOff>0</xdr:rowOff>
    </xdr:to>
    <xdr:pic>
      <xdr:nvPicPr>
        <xdr:cNvPr id="2" name="Picture 4" descr="Logo_d"/>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5629275" y="0"/>
          <a:ext cx="1200150" cy="609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0</xdr:rowOff>
    </xdr:from>
    <xdr:to>
      <xdr:col>10</xdr:col>
      <xdr:colOff>257175</xdr:colOff>
      <xdr:row>2</xdr:row>
      <xdr:rowOff>0</xdr:rowOff>
    </xdr:to>
    <xdr:pic>
      <xdr:nvPicPr>
        <xdr:cNvPr id="12292" name="Picture 4" descr="Logo_d"/>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4781550" y="0"/>
          <a:ext cx="914400" cy="581025"/>
        </a:xfrm>
        <a:prstGeom prst="rect">
          <a:avLst/>
        </a:prstGeom>
        <a:noFill/>
        <a:ln w="9525">
          <a:noFill/>
          <a:miter lim="800000"/>
          <a:headEnd/>
          <a:tailEnd/>
        </a:ln>
      </xdr:spPr>
    </xdr:pic>
    <xdr:clientData/>
  </xdr:twoCellAnchor>
  <xdr:twoCellAnchor>
    <xdr:from>
      <xdr:col>11</xdr:col>
      <xdr:colOff>200025</xdr:colOff>
      <xdr:row>2</xdr:row>
      <xdr:rowOff>142875</xdr:rowOff>
    </xdr:from>
    <xdr:to>
      <xdr:col>11</xdr:col>
      <xdr:colOff>428625</xdr:colOff>
      <xdr:row>48</xdr:row>
      <xdr:rowOff>180975</xdr:rowOff>
    </xdr:to>
    <xdr:sp macro="" textlink="">
      <xdr:nvSpPr>
        <xdr:cNvPr id="12294" name="AutoShape 6"/>
        <xdr:cNvSpPr>
          <a:spLocks/>
        </xdr:cNvSpPr>
      </xdr:nvSpPr>
      <xdr:spPr bwMode="auto">
        <a:xfrm>
          <a:off x="6038850" y="723900"/>
          <a:ext cx="228600" cy="7505700"/>
        </a:xfrm>
        <a:prstGeom prst="rightBrace">
          <a:avLst>
            <a:gd name="adj1" fmla="val 273611"/>
            <a:gd name="adj2" fmla="val 50000"/>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104775</xdr:colOff>
          <xdr:row>3</xdr:row>
          <xdr:rowOff>66675</xdr:rowOff>
        </xdr:from>
        <xdr:to>
          <xdr:col>10</xdr:col>
          <xdr:colOff>333375</xdr:colOff>
          <xdr:row>47</xdr:row>
          <xdr:rowOff>123825</xdr:rowOff>
        </xdr:to>
        <xdr:sp macro="" textlink="">
          <xdr:nvSpPr>
            <xdr:cNvPr id="2" name="Object 6" hidden="1">
              <a:extLst>
                <a:ext uri="{63B3BB69-23CF-44E3-9099-C40C66FF867C}">
                  <a14:compatExt spid="_x0000_s122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de.wikipedia.org/wiki/Isle_of_Man" TargetMode="External"/><Relationship Id="rId2" Type="http://schemas.openxmlformats.org/officeDocument/2006/relationships/hyperlink" Target="http://de.wikipedia.org/wiki/Besondere_Gemeinde_(Niederlande)" TargetMode="External"/><Relationship Id="rId1" Type="http://schemas.openxmlformats.org/officeDocument/2006/relationships/hyperlink" Target="http://de.wikipedia.org/wiki/%C3%85land" TargetMode="External"/><Relationship Id="rId6" Type="http://schemas.openxmlformats.org/officeDocument/2006/relationships/comments" Target="../comments5.xml"/><Relationship Id="rId5" Type="http://schemas.openxmlformats.org/officeDocument/2006/relationships/vmlDrawing" Target="../drawings/vmlDrawing6.v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155"/>
  <sheetViews>
    <sheetView tabSelected="1" topLeftCell="A33" zoomScaleNormal="100" workbookViewId="0">
      <selection activeCell="C5" sqref="C5:L5"/>
    </sheetView>
  </sheetViews>
  <sheetFormatPr defaultColWidth="11.42578125" defaultRowHeight="12.75" x14ac:dyDescent="0.2"/>
  <cols>
    <col min="1" max="2" width="11.28515625" style="12" customWidth="1"/>
    <col min="3" max="3" width="14.28515625" style="12" bestFit="1" customWidth="1"/>
    <col min="4" max="4" width="14.140625" style="12" bestFit="1" customWidth="1"/>
    <col min="5" max="12" width="11.28515625" style="12" customWidth="1"/>
    <col min="13" max="13" width="8.140625" style="12" hidden="1" customWidth="1"/>
    <col min="14" max="15" width="11.42578125" style="12"/>
    <col min="16" max="16" width="0" style="12" hidden="1" customWidth="1"/>
    <col min="17" max="19" width="11.42578125" style="12"/>
    <col min="20" max="20" width="0" style="12" hidden="1" customWidth="1"/>
    <col min="21" max="23" width="11.42578125" style="12"/>
    <col min="24" max="24" width="0" style="12" hidden="1" customWidth="1"/>
    <col min="25" max="16384" width="11.42578125" style="12"/>
  </cols>
  <sheetData>
    <row r="1" spans="1:12" ht="30" customHeight="1" x14ac:dyDescent="0.25">
      <c r="A1" s="546" t="str">
        <f>IF(Sprache=DE,"Auditprogramm Aero","Audit programme Aero")</f>
        <v>Audit programme Aero</v>
      </c>
      <c r="B1" s="547"/>
      <c r="C1" s="547"/>
      <c r="D1" s="547"/>
      <c r="E1" s="544" t="str">
        <f>IF(Firma="","",Firma)</f>
        <v/>
      </c>
      <c r="F1" s="544"/>
      <c r="G1" s="544"/>
      <c r="H1" s="544"/>
      <c r="I1" s="544"/>
      <c r="J1" s="545"/>
      <c r="K1" s="551"/>
      <c r="L1" s="552"/>
    </row>
    <row r="2" spans="1:12" ht="24" customHeight="1" x14ac:dyDescent="0.2">
      <c r="A2" s="596" t="str">
        <f>IF(Sprache =DE,"Stammdaten","Master Data")</f>
        <v>Master Data</v>
      </c>
      <c r="B2" s="597"/>
      <c r="C2" s="597"/>
      <c r="D2" s="597"/>
      <c r="E2" s="597"/>
      <c r="F2" s="597"/>
      <c r="G2" s="597"/>
      <c r="H2" s="581" t="s">
        <v>162</v>
      </c>
      <c r="I2" s="582"/>
      <c r="J2" s="50" t="s">
        <v>161</v>
      </c>
      <c r="K2" s="553"/>
      <c r="L2" s="554"/>
    </row>
    <row r="3" spans="1:12" ht="9" customHeight="1" x14ac:dyDescent="0.2">
      <c r="A3" s="555"/>
      <c r="B3" s="556"/>
      <c r="C3" s="556"/>
      <c r="D3" s="556"/>
      <c r="E3" s="556"/>
      <c r="F3" s="556"/>
      <c r="G3" s="556"/>
      <c r="H3" s="556"/>
      <c r="I3" s="556"/>
      <c r="J3" s="557"/>
      <c r="K3" s="558"/>
      <c r="L3" s="559"/>
    </row>
    <row r="4" spans="1:12" s="15" customFormat="1" ht="21.95" customHeight="1" x14ac:dyDescent="0.2">
      <c r="A4" s="516" t="str">
        <f>IF(Sprache=DE,"1.   Allgemeine Informationen","1. General information")</f>
        <v>1. General information</v>
      </c>
      <c r="B4" s="517"/>
      <c r="C4" s="517"/>
      <c r="D4" s="517"/>
      <c r="E4" s="517"/>
      <c r="F4" s="517"/>
      <c r="G4" s="517"/>
      <c r="H4" s="517"/>
      <c r="I4" s="517"/>
      <c r="J4" s="517"/>
      <c r="K4" s="517"/>
      <c r="L4" s="518"/>
    </row>
    <row r="5" spans="1:12" ht="24" customHeight="1" x14ac:dyDescent="0.2">
      <c r="A5" s="598" t="str">
        <f>IF(Sprache=DE,"Auftraggeber:","Certification client:")</f>
        <v>Certification client:</v>
      </c>
      <c r="B5" s="599"/>
      <c r="C5" s="600"/>
      <c r="D5" s="576"/>
      <c r="E5" s="576"/>
      <c r="F5" s="576"/>
      <c r="G5" s="576"/>
      <c r="H5" s="576"/>
      <c r="I5" s="576"/>
      <c r="J5" s="576"/>
      <c r="K5" s="576"/>
      <c r="L5" s="577"/>
    </row>
    <row r="6" spans="1:12" s="191" customFormat="1" ht="6" customHeight="1" x14ac:dyDescent="0.2">
      <c r="A6" s="76"/>
      <c r="B6" s="100"/>
      <c r="C6" s="16"/>
      <c r="D6" s="16"/>
      <c r="E6" s="16"/>
      <c r="F6" s="16"/>
      <c r="G6" s="16"/>
      <c r="H6" s="16"/>
      <c r="I6" s="16"/>
      <c r="J6" s="16"/>
      <c r="K6" s="16"/>
      <c r="L6" s="17"/>
    </row>
    <row r="7" spans="1:12" s="191" customFormat="1" ht="24" customHeight="1" x14ac:dyDescent="0.2">
      <c r="A7" s="504" t="str">
        <f>IF(Sprache=DE,"Mutterfirma/Konzern:","Mother Company/Trust:")</f>
        <v>Mother Company/Trust:</v>
      </c>
      <c r="B7" s="506"/>
      <c r="C7" s="563"/>
      <c r="D7" s="564"/>
      <c r="E7" s="564"/>
      <c r="F7" s="564"/>
      <c r="G7" s="564"/>
      <c r="H7" s="564"/>
      <c r="I7" s="564"/>
      <c r="J7" s="564"/>
      <c r="K7" s="564"/>
      <c r="L7" s="565"/>
    </row>
    <row r="8" spans="1:12" ht="6" customHeight="1" x14ac:dyDescent="0.2">
      <c r="A8" s="76"/>
      <c r="B8" s="100"/>
      <c r="C8" s="16"/>
      <c r="D8" s="16"/>
      <c r="E8" s="16"/>
      <c r="F8" s="16"/>
      <c r="G8" s="16"/>
      <c r="H8" s="16"/>
      <c r="I8" s="16"/>
      <c r="J8" s="16"/>
      <c r="K8" s="16"/>
      <c r="L8" s="17"/>
    </row>
    <row r="9" spans="1:12" ht="24" customHeight="1" x14ac:dyDescent="0.2">
      <c r="A9" s="504" t="str">
        <f>IF(Sprache=DE,"Straße:","Address:")</f>
        <v>Address:</v>
      </c>
      <c r="B9" s="506"/>
      <c r="C9" s="563"/>
      <c r="D9" s="564"/>
      <c r="E9" s="564"/>
      <c r="F9" s="564"/>
      <c r="G9" s="564"/>
      <c r="H9" s="564"/>
      <c r="I9" s="564"/>
      <c r="J9" s="564"/>
      <c r="K9" s="564"/>
      <c r="L9" s="565"/>
    </row>
    <row r="10" spans="1:12" ht="6" customHeight="1" x14ac:dyDescent="0.2">
      <c r="A10" s="76"/>
      <c r="B10" s="100"/>
      <c r="C10" s="21"/>
      <c r="D10" s="21"/>
      <c r="E10" s="21"/>
      <c r="F10" s="21"/>
      <c r="G10" s="21"/>
      <c r="H10" s="21"/>
      <c r="I10" s="95"/>
      <c r="J10" s="95"/>
      <c r="K10" s="95"/>
      <c r="L10" s="22"/>
    </row>
    <row r="11" spans="1:12" ht="24" customHeight="1" x14ac:dyDescent="0.2">
      <c r="A11" s="510" t="str">
        <f>IF(Sprache=DE,"PLZ:","Zio-Code:")</f>
        <v>Zio-Code:</v>
      </c>
      <c r="B11" s="512"/>
      <c r="C11" s="194"/>
      <c r="D11" s="98" t="str">
        <f>IF(Sprache=DE,"Ort:","Site/City:")</f>
        <v>Site/City:</v>
      </c>
      <c r="E11" s="566"/>
      <c r="F11" s="567"/>
      <c r="G11" s="567"/>
      <c r="H11" s="567"/>
      <c r="I11" s="567"/>
      <c r="J11" s="567"/>
      <c r="K11" s="568"/>
      <c r="L11" s="569"/>
    </row>
    <row r="12" spans="1:12" ht="6" customHeight="1" x14ac:dyDescent="0.2">
      <c r="A12" s="76"/>
      <c r="B12" s="100"/>
      <c r="C12" s="21"/>
      <c r="D12" s="21"/>
      <c r="E12" s="21"/>
      <c r="F12" s="21"/>
      <c r="G12" s="21"/>
      <c r="H12" s="21"/>
      <c r="I12" s="113"/>
      <c r="J12" s="49"/>
      <c r="K12" s="113"/>
      <c r="L12" s="22"/>
    </row>
    <row r="13" spans="1:12" ht="24" customHeight="1" x14ac:dyDescent="0.2">
      <c r="A13" s="510"/>
      <c r="B13" s="511"/>
      <c r="C13" s="347"/>
      <c r="D13" s="98" t="str">
        <f>IF(Sprache=DE,"Land:","Country:")</f>
        <v>Country:</v>
      </c>
      <c r="E13" s="614" t="str">
        <f>IF(Sprache=DE,"Deutschland","Germany")</f>
        <v>Germany</v>
      </c>
      <c r="F13" s="615"/>
      <c r="G13" s="616"/>
      <c r="H13" s="617" t="str">
        <f>"Region/"&amp;IF(Sprache=DE,"Bundesstaat/Provinz:","State:/Province:")</f>
        <v>Region/State:/Province:</v>
      </c>
      <c r="I13" s="618"/>
      <c r="J13" s="619"/>
      <c r="K13" s="619"/>
      <c r="L13" s="620"/>
    </row>
    <row r="14" spans="1:12" ht="6" customHeight="1" x14ac:dyDescent="0.2">
      <c r="A14" s="76"/>
      <c r="B14" s="100"/>
      <c r="C14" s="21"/>
      <c r="D14" s="21"/>
      <c r="E14" s="21"/>
      <c r="F14" s="21"/>
      <c r="G14" s="21"/>
      <c r="H14" s="21"/>
      <c r="I14" s="95"/>
      <c r="J14" s="49"/>
      <c r="K14" s="95"/>
      <c r="L14" s="22"/>
    </row>
    <row r="15" spans="1:12" ht="24" customHeight="1" x14ac:dyDescent="0.2">
      <c r="A15" s="592" t="str">
        <f>IF(Sprache=DE,"Ust-Id:","VAT-Id:")</f>
        <v>VAT-Id:</v>
      </c>
      <c r="B15" s="604"/>
      <c r="C15" s="563"/>
      <c r="D15" s="602"/>
      <c r="E15" s="602"/>
      <c r="F15" s="602"/>
      <c r="G15" s="603"/>
      <c r="H15" s="147" t="str">
        <f>IF(Sprache=DE,"Rahmen-vertrag:","Master contract:")</f>
        <v>Master contract:</v>
      </c>
      <c r="I15" s="563"/>
      <c r="J15" s="561"/>
      <c r="K15" s="561"/>
      <c r="L15" s="562"/>
    </row>
    <row r="16" spans="1:12" s="79" customFormat="1" ht="21.95" customHeight="1" x14ac:dyDescent="0.2">
      <c r="A16" s="516" t="str">
        <f>IF(Sprache=DE,"2.   Branche/Tätigkeitsgebiet - Kompetenzfelder AQMS - Geltungsbereich der Zertifizierung","2. Sector/Area - Competences - Scope of Certification")</f>
        <v>2. Sector/Area - Competences - Scope of Certification</v>
      </c>
      <c r="B16" s="517"/>
      <c r="C16" s="517"/>
      <c r="D16" s="517"/>
      <c r="E16" s="517"/>
      <c r="F16" s="517"/>
      <c r="G16" s="517"/>
      <c r="H16" s="517"/>
      <c r="I16" s="517"/>
      <c r="J16" s="517"/>
      <c r="K16" s="517"/>
      <c r="L16" s="518"/>
    </row>
    <row r="17" spans="1:12" ht="48" customHeight="1" x14ac:dyDescent="0.2">
      <c r="A17" s="510" t="str">
        <f>IF(Sprache=DE,"Geltungsbereich generisch (AQMS):","Scope generic (AQMS):")</f>
        <v>Scope generic (AQMS):</v>
      </c>
      <c r="B17" s="512"/>
      <c r="C17" s="605" t="str">
        <f>NIL</f>
        <v>---</v>
      </c>
      <c r="D17" s="606"/>
      <c r="E17" s="606"/>
      <c r="F17" s="606"/>
      <c r="G17" s="606"/>
      <c r="H17" s="606"/>
      <c r="I17" s="606"/>
      <c r="J17" s="606"/>
      <c r="K17" s="606"/>
      <c r="L17" s="607"/>
    </row>
    <row r="18" spans="1:12" ht="6" customHeight="1" x14ac:dyDescent="0.2">
      <c r="A18" s="32"/>
      <c r="B18" s="48"/>
      <c r="C18" s="21"/>
      <c r="D18" s="21"/>
      <c r="E18" s="21"/>
      <c r="F18" s="21"/>
      <c r="G18" s="21"/>
      <c r="H18" s="21"/>
      <c r="I18" s="95"/>
      <c r="J18" s="95"/>
      <c r="K18" s="95"/>
      <c r="L18" s="22"/>
    </row>
    <row r="19" spans="1:12" ht="24" customHeight="1" x14ac:dyDescent="0.2">
      <c r="A19" s="510" t="str">
        <f>IF(Sprache=DE,"TB-Scopes (AQMS):","TA-Scopes (AQMS):")</f>
        <v>TA-Scopes (AQMS):</v>
      </c>
      <c r="B19" s="512"/>
      <c r="C19" s="499" t="str">
        <f>"21.0" &amp; IF(EN9120Ja=Ja,", 29.1","") &amp; IF(EN9110Ja =Ja,", 29.2","")</f>
        <v>21.0</v>
      </c>
      <c r="D19" s="121" t="s">
        <v>168</v>
      </c>
      <c r="E19" s="307" t="s">
        <v>168</v>
      </c>
      <c r="F19" s="570" t="str">
        <f>IF(Sprache=DE,"Details zum Geltungsbereich (TB-Scope): siehe 'TB-TA'","Details for Scope (TA-Codes): see 'TB-TA'")</f>
        <v>Details for Scope (TA-Codes): see 'TB-TA'</v>
      </c>
      <c r="G19" s="571"/>
      <c r="H19" s="571"/>
      <c r="I19" s="571"/>
      <c r="J19" s="571"/>
      <c r="K19" s="571"/>
      <c r="L19" s="572"/>
    </row>
    <row r="20" spans="1:12" s="191" customFormat="1" ht="6" hidden="1" customHeight="1" x14ac:dyDescent="0.2">
      <c r="A20" s="32"/>
      <c r="B20" s="48"/>
      <c r="C20" s="21"/>
      <c r="D20" s="21"/>
      <c r="E20" s="21"/>
      <c r="F20" s="21"/>
      <c r="G20" s="21"/>
      <c r="H20" s="21"/>
      <c r="I20" s="148"/>
      <c r="J20" s="148"/>
      <c r="K20" s="148"/>
      <c r="L20" s="22"/>
    </row>
    <row r="21" spans="1:12" s="191" customFormat="1" ht="24" hidden="1" customHeight="1" x14ac:dyDescent="0.2">
      <c r="A21" s="592" t="s">
        <v>34</v>
      </c>
      <c r="B21" s="604"/>
      <c r="C21" s="611" t="e">
        <f ca="1">ErstelleListe(C19:F19,NIL)</f>
        <v>#NAME?</v>
      </c>
      <c r="D21" s="612"/>
      <c r="E21" s="612"/>
      <c r="F21" s="612"/>
      <c r="G21" s="612"/>
      <c r="H21" s="612"/>
      <c r="I21" s="612"/>
      <c r="J21" s="612"/>
      <c r="K21" s="612"/>
      <c r="L21" s="613"/>
    </row>
    <row r="22" spans="1:12" s="79" customFormat="1" ht="21.95" customHeight="1" x14ac:dyDescent="0.2">
      <c r="A22" s="608" t="str">
        <f>IF(Sprache=DE,"3.  Ansprechpartner für Audits","3. Contact person for audits")</f>
        <v>3. Contact person for audits</v>
      </c>
      <c r="B22" s="609"/>
      <c r="C22" s="609"/>
      <c r="D22" s="609"/>
      <c r="E22" s="609"/>
      <c r="F22" s="609"/>
      <c r="G22" s="609"/>
      <c r="H22" s="609"/>
      <c r="I22" s="609"/>
      <c r="J22" s="609"/>
      <c r="K22" s="609"/>
      <c r="L22" s="610"/>
    </row>
    <row r="23" spans="1:12" ht="24" customHeight="1" x14ac:dyDescent="0.2">
      <c r="A23" s="218" t="s">
        <v>7</v>
      </c>
      <c r="B23" s="560"/>
      <c r="C23" s="583"/>
      <c r="D23" s="583"/>
      <c r="E23" s="583"/>
      <c r="F23" s="583"/>
      <c r="G23" s="584"/>
      <c r="H23" s="237" t="str">
        <f>IF(Sprache=DE,"Position:","Job role:")</f>
        <v>Job role:</v>
      </c>
      <c r="I23" s="560"/>
      <c r="J23" s="561"/>
      <c r="K23" s="561"/>
      <c r="L23" s="562"/>
    </row>
    <row r="24" spans="1:12" ht="6" customHeight="1" x14ac:dyDescent="0.2">
      <c r="A24" s="32"/>
      <c r="B24" s="48"/>
      <c r="C24" s="20"/>
      <c r="D24" s="20"/>
      <c r="E24" s="20"/>
      <c r="F24" s="20"/>
      <c r="G24" s="96"/>
      <c r="H24" s="96"/>
      <c r="I24" s="18"/>
      <c r="J24" s="18"/>
      <c r="K24" s="18"/>
      <c r="L24" s="19"/>
    </row>
    <row r="25" spans="1:12" ht="24" customHeight="1" x14ac:dyDescent="0.2">
      <c r="A25" s="219" t="str">
        <f>IF(Sprache=DE,"Telefon:","Phone:")</f>
        <v>Phone:</v>
      </c>
      <c r="B25" s="578"/>
      <c r="C25" s="579"/>
      <c r="D25" s="220" t="str">
        <f>IF(Sprache=DE,"Telefax:","Fax:")</f>
        <v>Fax:</v>
      </c>
      <c r="E25" s="563"/>
      <c r="F25" s="561"/>
      <c r="G25" s="562"/>
      <c r="H25" s="221" t="s">
        <v>0</v>
      </c>
      <c r="I25" s="580"/>
      <c r="J25" s="561"/>
      <c r="K25" s="561"/>
      <c r="L25" s="562"/>
    </row>
    <row r="26" spans="1:12" s="79" customFormat="1" ht="21.95" customHeight="1" x14ac:dyDescent="0.2">
      <c r="A26" s="516" t="str">
        <f>IF(Sprache=DE,"4.  OASIS Datenbank Administrator","4. OASIS Database Administrator")</f>
        <v>4. OASIS Database Administrator</v>
      </c>
      <c r="B26" s="517"/>
      <c r="C26" s="517"/>
      <c r="D26" s="517"/>
      <c r="E26" s="517"/>
      <c r="F26" s="517"/>
      <c r="G26" s="517"/>
      <c r="H26" s="517"/>
      <c r="I26" s="517"/>
      <c r="J26" s="517"/>
      <c r="K26" s="517"/>
      <c r="L26" s="518"/>
    </row>
    <row r="27" spans="1:12" s="191" customFormat="1" ht="24" customHeight="1" x14ac:dyDescent="0.2">
      <c r="A27" s="252" t="s">
        <v>7</v>
      </c>
      <c r="B27" s="573"/>
      <c r="C27" s="574"/>
      <c r="D27" s="574"/>
      <c r="E27" s="574"/>
      <c r="F27" s="574"/>
      <c r="G27" s="575"/>
      <c r="H27" s="254" t="str">
        <f>IF(Sprache=DE,"Position:","Job role:")</f>
        <v>Job role:</v>
      </c>
      <c r="I27" s="573"/>
      <c r="J27" s="576"/>
      <c r="K27" s="576"/>
      <c r="L27" s="577"/>
    </row>
    <row r="28" spans="1:12" s="191" customFormat="1" ht="6" customHeight="1" x14ac:dyDescent="0.2">
      <c r="A28" s="32"/>
      <c r="B28" s="48"/>
      <c r="C28" s="20"/>
      <c r="D28" s="20"/>
      <c r="E28" s="20"/>
      <c r="F28" s="20"/>
      <c r="G28" s="254"/>
      <c r="H28" s="254"/>
      <c r="I28" s="18"/>
      <c r="J28" s="18"/>
      <c r="K28" s="18"/>
      <c r="L28" s="19"/>
    </row>
    <row r="29" spans="1:12" s="191" customFormat="1" ht="24" customHeight="1" x14ac:dyDescent="0.2">
      <c r="A29" s="253" t="str">
        <f>IF(Sprache=DE,"Telefon:","Phone:")</f>
        <v>Phone:</v>
      </c>
      <c r="B29" s="578"/>
      <c r="C29" s="579"/>
      <c r="D29" s="220" t="str">
        <f>IF(Sprache=DE,"Telefax:","Fax:")</f>
        <v>Fax:</v>
      </c>
      <c r="E29" s="563"/>
      <c r="F29" s="561"/>
      <c r="G29" s="562"/>
      <c r="H29" s="255" t="s">
        <v>0</v>
      </c>
      <c r="I29" s="580"/>
      <c r="J29" s="561"/>
      <c r="K29" s="561"/>
      <c r="L29" s="562"/>
    </row>
    <row r="30" spans="1:12" s="79" customFormat="1" ht="21.75" customHeight="1" x14ac:dyDescent="0.2">
      <c r="A30" s="516" t="str">
        <f>IF(Sprache=DE,"5.  Sonstige Angaben","5. Additional Information")</f>
        <v>5. Additional Information</v>
      </c>
      <c r="B30" s="517"/>
      <c r="C30" s="517"/>
      <c r="D30" s="517"/>
      <c r="E30" s="517"/>
      <c r="F30" s="517"/>
      <c r="G30" s="517"/>
      <c r="H30" s="517"/>
      <c r="I30" s="517"/>
      <c r="J30" s="517"/>
      <c r="K30" s="517"/>
      <c r="L30" s="518"/>
    </row>
    <row r="31" spans="1:12" ht="24" customHeight="1" x14ac:dyDescent="0.2">
      <c r="A31" s="504" t="str">
        <f>IF(Sprache=DE,"Berater für QM-System:","Consultant for QM system:")</f>
        <v>Consultant for QM system:</v>
      </c>
      <c r="B31" s="506"/>
      <c r="C31" s="548"/>
      <c r="D31" s="549"/>
      <c r="E31" s="549"/>
      <c r="F31" s="550"/>
      <c r="G31" s="510" t="str">
        <f>IF(Sprache=DE,"Mitglied im Verband:","Member of association:")</f>
        <v>Member of association:</v>
      </c>
      <c r="H31" s="601"/>
      <c r="I31" s="548"/>
      <c r="J31" s="549"/>
      <c r="K31" s="549"/>
      <c r="L31" s="550"/>
    </row>
    <row r="32" spans="1:12" s="191" customFormat="1" ht="6" customHeight="1" x14ac:dyDescent="0.2">
      <c r="A32" s="32"/>
      <c r="B32" s="48"/>
      <c r="C32" s="20"/>
      <c r="D32" s="20"/>
      <c r="E32" s="20"/>
      <c r="F32" s="20"/>
      <c r="G32" s="266"/>
      <c r="H32" s="266"/>
      <c r="I32" s="18"/>
      <c r="J32" s="18"/>
      <c r="K32" s="18"/>
      <c r="L32" s="19"/>
    </row>
    <row r="33" spans="1:13" s="79" customFormat="1" ht="21.75" customHeight="1" x14ac:dyDescent="0.2">
      <c r="A33" s="516" t="str">
        <f>IF(Sprache=DE,"5a. Sprache im Audit / in Dokumentation","5a. Language in audit / in documentation")</f>
        <v>5a. Language in audit / in documentation</v>
      </c>
      <c r="B33" s="517"/>
      <c r="C33" s="517"/>
      <c r="D33" s="517"/>
      <c r="E33" s="517"/>
      <c r="F33" s="517"/>
      <c r="G33" s="517"/>
      <c r="H33" s="517"/>
      <c r="I33" s="517"/>
      <c r="J33" s="517"/>
      <c r="K33" s="517"/>
      <c r="L33" s="518"/>
    </row>
    <row r="34" spans="1:13" s="191" customFormat="1" ht="18.75" customHeight="1" x14ac:dyDescent="0.2">
      <c r="A34" s="507" t="str">
        <f>IF(Sprache=DE,"Für Unternehmen mit mehreren Standorten: Details zu Sprachen in der 'Standortliste'","For organisations having multi sites: details on lanugages in 'site list'")</f>
        <v>For organisations having multi sites: details on lanugages in 'site list'</v>
      </c>
      <c r="B34" s="508"/>
      <c r="C34" s="508"/>
      <c r="D34" s="508"/>
      <c r="E34" s="508"/>
      <c r="F34" s="508"/>
      <c r="G34" s="508"/>
      <c r="H34" s="508"/>
      <c r="I34" s="508"/>
      <c r="J34" s="508"/>
      <c r="K34" s="508"/>
      <c r="L34" s="509"/>
    </row>
    <row r="35" spans="1:13" s="191" customFormat="1" ht="24" customHeight="1" x14ac:dyDescent="0.2">
      <c r="A35" s="504" t="str">
        <f>IF(Sprache=DE,"Sprache der MS-Dokumentation des zu auditierenden Unternehmens:","Language of MS documentation of auditee:")</f>
        <v>Language of MS documentation of auditee:</v>
      </c>
      <c r="B35" s="505"/>
      <c r="C35" s="587"/>
      <c r="D35" s="587"/>
      <c r="E35" s="587"/>
      <c r="F35" s="587"/>
      <c r="G35" s="587"/>
      <c r="H35" s="588"/>
      <c r="I35" s="519" t="str">
        <f>IF(Sprache=DE,Deutsch,Englisch)</f>
        <v>English</v>
      </c>
      <c r="J35" s="585"/>
      <c r="K35" s="585"/>
      <c r="L35" s="586"/>
    </row>
    <row r="36" spans="1:13" s="191" customFormat="1" ht="24" customHeight="1" x14ac:dyDescent="0.2">
      <c r="A36" s="504" t="str">
        <f>IF(Sprache=DE,"Auditsprache:","Language in audit:")</f>
        <v>Language in audit:</v>
      </c>
      <c r="B36" s="505"/>
      <c r="C36" s="589" t="str">
        <f>QMSprache</f>
        <v>English</v>
      </c>
      <c r="D36" s="590"/>
      <c r="E36" s="504" t="str">
        <f>IF(Sprache=DE,"Mehr als 90% des Personals spricht Auditsprache:","More than 90% of staff speaks audit language:")</f>
        <v>More than 90% of staff speaks audit language:</v>
      </c>
      <c r="F36" s="505"/>
      <c r="G36" s="505"/>
      <c r="H36" s="591"/>
      <c r="I36" s="505"/>
      <c r="J36" s="505"/>
      <c r="K36" s="506"/>
      <c r="L36" s="270" t="str">
        <f>Ja</f>
        <v>Yes</v>
      </c>
    </row>
    <row r="37" spans="1:13" s="191" customFormat="1" ht="24" customHeight="1" x14ac:dyDescent="0.2">
      <c r="A37" s="592" t="str">
        <f>IF(Sprache=DE,"Unterstützung bei Übersetzung erforderlich (z.B. Dolmetscher oder sprachkundige Mitarbeiter):","Support for translator required (e.g. translator or polyglot employee):")</f>
        <v>Support for translator required (e.g. translator or polyglot employee):</v>
      </c>
      <c r="B37" s="593"/>
      <c r="C37" s="593"/>
      <c r="D37" s="593"/>
      <c r="E37" s="593"/>
      <c r="F37" s="593"/>
      <c r="G37" s="593"/>
      <c r="H37" s="386" t="str">
        <f>IF(Sprachkompetenz=Ja,Nein,Ja)</f>
        <v>No</v>
      </c>
      <c r="I37" s="594"/>
      <c r="J37" s="591"/>
      <c r="K37" s="591"/>
      <c r="L37" s="595"/>
    </row>
    <row r="38" spans="1:13" s="191" customFormat="1" ht="6" customHeight="1" x14ac:dyDescent="0.2">
      <c r="A38" s="32"/>
      <c r="B38" s="48"/>
      <c r="C38" s="20"/>
      <c r="D38" s="407"/>
      <c r="E38" s="405"/>
      <c r="F38" s="364"/>
      <c r="G38" s="364"/>
      <c r="H38" s="364"/>
      <c r="I38" s="364"/>
      <c r="J38" s="364"/>
      <c r="K38" s="384"/>
      <c r="L38" s="385"/>
    </row>
    <row r="39" spans="1:13" s="79" customFormat="1" ht="21.75" customHeight="1" x14ac:dyDescent="0.2">
      <c r="A39" s="516" t="str">
        <f>IF(Sprache=DE,"5b. Bestehende Zulassungen durch EASA/LBA und/oder nationale Luftfahrtbehörden","5b. Existing Approvals by EASA/LBA and/or by any National Aerospace Authority")</f>
        <v>5b. Existing Approvals by EASA/LBA and/or by any National Aerospace Authority</v>
      </c>
      <c r="B39" s="517"/>
      <c r="C39" s="517"/>
      <c r="D39" s="517"/>
      <c r="E39" s="517"/>
      <c r="F39" s="517"/>
      <c r="G39" s="517"/>
      <c r="H39" s="517"/>
      <c r="I39" s="517"/>
      <c r="J39" s="517"/>
      <c r="K39" s="517"/>
      <c r="L39" s="518"/>
    </row>
    <row r="40" spans="1:13" s="191" customFormat="1" ht="18.75" customHeight="1" x14ac:dyDescent="0.2">
      <c r="A40" s="507" t="str">
        <f>IF(Sprache=DE,"Für Unternehmen mit mehreren Standorten: Details zu Zulassungen in der 'Standortliste'","For organisations having multi sites: details on approvals in 'site list'")</f>
        <v>For organisations having multi sites: details on approvals in 'site list'</v>
      </c>
      <c r="B40" s="508"/>
      <c r="C40" s="508"/>
      <c r="D40" s="508"/>
      <c r="E40" s="508"/>
      <c r="F40" s="508"/>
      <c r="G40" s="508"/>
      <c r="H40" s="508"/>
      <c r="I40" s="508"/>
      <c r="J40" s="508"/>
      <c r="K40" s="508"/>
      <c r="L40" s="509"/>
    </row>
    <row r="41" spans="1:13" s="191" customFormat="1" ht="24" customHeight="1" x14ac:dyDescent="0.2">
      <c r="A41" s="504" t="str">
        <f>IF(Sprache=DE,"Entwicklungsbetrieb","Design Organisation") &amp;": Part 21 J: "</f>
        <v xml:space="preserve">Design Organisation: Part 21 J: </v>
      </c>
      <c r="B41" s="505"/>
      <c r="C41" s="506"/>
      <c r="D41" s="386" t="str">
        <f>Nein</f>
        <v>No</v>
      </c>
      <c r="E41" s="504" t="str">
        <f>IF(Sprache=DE,"Herstellungsbetrieb","Production Organisation")&amp;": Part 21 G: "</f>
        <v xml:space="preserve">Production Organisation: Part 21 G: </v>
      </c>
      <c r="F41" s="505"/>
      <c r="G41" s="506"/>
      <c r="H41" s="386" t="str">
        <f>Nein</f>
        <v>No</v>
      </c>
      <c r="I41" s="504" t="str">
        <f>IF(Sprache=DE,"Instandhaltungsbetrieb","Maintenance Organisation")&amp;":Part 145: "</f>
        <v xml:space="preserve">Maintenance Organisation:Part 145: </v>
      </c>
      <c r="J41" s="505"/>
      <c r="K41" s="506"/>
      <c r="L41" s="386" t="str">
        <f>Nein</f>
        <v>No</v>
      </c>
    </row>
    <row r="42" spans="1:13" s="191" customFormat="1" ht="6" customHeight="1" x14ac:dyDescent="0.2">
      <c r="A42" s="32"/>
      <c r="B42" s="48"/>
      <c r="C42" s="20"/>
      <c r="D42" s="20"/>
      <c r="E42" s="20"/>
      <c r="F42" s="20"/>
      <c r="G42" s="365"/>
      <c r="H42" s="365"/>
      <c r="I42" s="18"/>
      <c r="J42" s="18"/>
      <c r="K42" s="18"/>
      <c r="L42" s="19"/>
    </row>
    <row r="43" spans="1:13" s="79" customFormat="1" ht="21.75" customHeight="1" x14ac:dyDescent="0.2">
      <c r="A43" s="516" t="str">
        <f>"5.c "&amp;IF(Sprache=DE,"Exportbeschränkungen / Besondere Vertraulichkeit","Export restrictions /Special requirements for confidentiality")</f>
        <v>5.c Export restrictions /Special requirements for confidentiality</v>
      </c>
      <c r="B43" s="517"/>
      <c r="C43" s="517"/>
      <c r="D43" s="517"/>
      <c r="E43" s="517"/>
      <c r="F43" s="517"/>
      <c r="G43" s="517"/>
      <c r="H43" s="517"/>
      <c r="I43" s="517"/>
      <c r="J43" s="517"/>
      <c r="K43" s="517"/>
      <c r="L43" s="518"/>
    </row>
    <row r="44" spans="1:13" s="191" customFormat="1" ht="24" customHeight="1" x14ac:dyDescent="0.2">
      <c r="A44" s="540" t="str">
        <f>IF(Sprache=DE,"Für das Unternehmen gelten Import-/Exportbeschränkungen oder besondere Anforderungen zur Vertraulichkeit:","Company underlies import-/export restrictions:")</f>
        <v>Company underlies import-/export restrictions:</v>
      </c>
      <c r="B44" s="541"/>
      <c r="C44" s="541"/>
      <c r="D44" s="541"/>
      <c r="E44" s="541"/>
      <c r="F44" s="541"/>
      <c r="G44" s="542"/>
      <c r="H44" s="404" t="str">
        <f>Nein</f>
        <v>No</v>
      </c>
      <c r="I44" s="537" t="str">
        <f>IF(Sprache=DE,"Falls ja: Bitte auch folgende Fragen beantworten ","If yes: Please give answer as well to following questions? ")</f>
        <v xml:space="preserve">If yes: Please give answer as well to following questions? </v>
      </c>
      <c r="J44" s="538"/>
      <c r="K44" s="538"/>
      <c r="L44" s="539"/>
    </row>
    <row r="45" spans="1:13" s="191" customFormat="1" ht="24" customHeight="1" x14ac:dyDescent="0.2">
      <c r="A45" s="504" t="str">
        <f>IF(Sprache=DE,"Bezüglich welche Länder? ","Relating to which countries? ")&amp;" "</f>
        <v xml:space="preserve">Relating to which countries?  </v>
      </c>
      <c r="B45" s="505"/>
      <c r="C45" s="506"/>
      <c r="D45" s="643" t="str">
        <f>IF(EpxortYes=Nein,n_z,"")</f>
        <v>n.a.</v>
      </c>
      <c r="E45" s="644"/>
      <c r="F45" s="644"/>
      <c r="G45" s="644"/>
      <c r="H45" s="644"/>
      <c r="I45" s="644"/>
      <c r="J45" s="644"/>
      <c r="K45" s="644"/>
      <c r="L45" s="645"/>
    </row>
    <row r="46" spans="1:13" s="191" customFormat="1" ht="24" customHeight="1" x14ac:dyDescent="0.2">
      <c r="A46" s="504" t="str">
        <f>IF(Sprache=DE,"Bezüglich welcher Produkte(gruppen)/Prozesse? ","Related to which product (familiies)/processes? ")&amp;" "</f>
        <v xml:space="preserve">Related to which product (familiies)/processes?  </v>
      </c>
      <c r="B46" s="505"/>
      <c r="C46" s="506"/>
      <c r="D46" s="643" t="str">
        <f>IF(EpxortYes=Nein,n_z,"")</f>
        <v>n.a.</v>
      </c>
      <c r="E46" s="644"/>
      <c r="F46" s="644"/>
      <c r="G46" s="644"/>
      <c r="H46" s="644"/>
      <c r="I46" s="644"/>
      <c r="J46" s="644"/>
      <c r="K46" s="644"/>
      <c r="L46" s="645"/>
    </row>
    <row r="47" spans="1:13" s="191" customFormat="1" ht="24" customHeight="1" x14ac:dyDescent="0.2">
      <c r="A47" s="504" t="str">
        <f>IF(Sprache=DE,"Produkte(gruppen)/Prozesse im Geltungsbereich der Zertifizierung? ","Product (familiies)/processes in scope of certification? ")&amp;" "</f>
        <v xml:space="preserve">Product (familiies)/processes in scope of certification?  </v>
      </c>
      <c r="B47" s="505"/>
      <c r="C47" s="505"/>
      <c r="D47" s="505"/>
      <c r="E47" s="505"/>
      <c r="F47" s="505"/>
      <c r="G47" s="506"/>
      <c r="H47" s="386" t="str">
        <f>EpxortYes</f>
        <v>No</v>
      </c>
      <c r="I47" s="543" t="str">
        <f>IF(Sprache=DE,"Falls ja: Klärung und Sondermaßnahmen für Audit erforderlich ","If yes: Clarification and special activities for audit required")&amp;"!"</f>
        <v>If yes: Clarification and special activities for audit required!</v>
      </c>
      <c r="J47" s="543"/>
      <c r="K47" s="543"/>
      <c r="L47" s="543"/>
      <c r="M47" s="406"/>
    </row>
    <row r="48" spans="1:13" s="191" customFormat="1" ht="24" customHeight="1" x14ac:dyDescent="0.2">
      <c r="A48" s="646" t="str">
        <f>IF(Sprache=DE,"Beschränkungen bezgl. Publikation in OASIS bzw. andere Stellen?","Restrictions for publication in OASIS  and/or others ? ")&amp;" "</f>
        <v xml:space="preserve">Restrictions for publication in OASIS  and/or others ?  </v>
      </c>
      <c r="B48" s="646"/>
      <c r="C48" s="646"/>
      <c r="D48" s="646"/>
      <c r="E48" s="646"/>
      <c r="F48" s="646"/>
      <c r="G48" s="646"/>
      <c r="H48" s="386" t="str">
        <f>EpxortYes</f>
        <v>No</v>
      </c>
      <c r="I48" s="543" t="str">
        <f>IF(Sprache=DE,"Falls ja: Klärung und Sondermaßnahmen für Audit erforderlich ","If yes: Clarification and special activities for audit required")&amp;"!"</f>
        <v>If yes: Clarification and special activities for audit required!</v>
      </c>
      <c r="J48" s="543"/>
      <c r="K48" s="543"/>
      <c r="L48" s="543"/>
      <c r="M48" s="406"/>
    </row>
    <row r="49" spans="1:13" s="191" customFormat="1" ht="6" customHeight="1" x14ac:dyDescent="0.2">
      <c r="A49" s="32"/>
      <c r="B49" s="48"/>
      <c r="C49" s="20"/>
      <c r="D49" s="20"/>
      <c r="E49" s="20"/>
      <c r="F49" s="20"/>
      <c r="G49" s="403"/>
      <c r="H49" s="403"/>
      <c r="I49" s="18"/>
      <c r="J49" s="18"/>
      <c r="K49" s="18"/>
      <c r="L49" s="19"/>
    </row>
    <row r="50" spans="1:13" s="79" customFormat="1" ht="21.95" customHeight="1" x14ac:dyDescent="0.2">
      <c r="A50" s="516" t="str">
        <f>IF(Sprache=DE,"6. Geltungsdauer des Programms/Beantragte Zertifizierungs-Struktur/Komplexität QMS/Anzahl &amp; Vielfalt der Tätigkeiten","6. Validity period of audit /Demanded certification structure/Complexity QMS/Number &amp; Variety of Activities")</f>
        <v>6. Validity period of audit /Demanded certification structure/Complexity QMS/Number &amp; Variety of Activities</v>
      </c>
      <c r="B50" s="517"/>
      <c r="C50" s="517"/>
      <c r="D50" s="517"/>
      <c r="E50" s="517"/>
      <c r="F50" s="517"/>
      <c r="G50" s="517"/>
      <c r="H50" s="517"/>
      <c r="I50" s="517"/>
      <c r="J50" s="517"/>
      <c r="K50" s="517"/>
      <c r="L50" s="518"/>
    </row>
    <row r="51" spans="1:13" s="79" customFormat="1" ht="21.95" customHeight="1" x14ac:dyDescent="0.2">
      <c r="A51" s="410" t="str">
        <f>IF(Sprache=DE,"Beginn:","Start:")</f>
        <v>Start:</v>
      </c>
      <c r="B51" s="537" t="str">
        <f>IF(Sprache=DE," Gewünschte Struktur:","Desired Structure:")</f>
        <v>Desired Structure:</v>
      </c>
      <c r="C51" s="539"/>
      <c r="D51" s="537" t="str">
        <f>IF(Sprache=DE,"Komplexität QMS","Complexity of QMS")&amp;":"</f>
        <v>Complexity of QMS:</v>
      </c>
      <c r="E51" s="539"/>
      <c r="F51" s="408" t="str">
        <f>IF(Sprache=DE,"Vielfalt Tätigkeiten","Variety Activities")&amp;":"</f>
        <v>Variety Activities:</v>
      </c>
      <c r="G51" s="408" t="str">
        <f>IF(Sprache=DE,"Anzahl Tätigkeiten","Number Activities")&amp;":"</f>
        <v>Number Activities:</v>
      </c>
      <c r="H51" s="537" t="str">
        <f>IF(Sprache=DE,"Verifizierung Korrekturmaßnahmen","Verification Corrective Actions")&amp;":"</f>
        <v>Verification Corrective Actions:</v>
      </c>
      <c r="I51" s="539"/>
      <c r="J51" s="410" t="str">
        <f>IF(Sprache=DE,"Unterstützung Übersetzer","Support by Translator")&amp;":"</f>
        <v>Support by Translator:</v>
      </c>
      <c r="K51" s="409" t="str">
        <f>IF(Sprache=DE,"~ Zuschlag","~ Addition")</f>
        <v>~ Addition</v>
      </c>
      <c r="L51" s="390" t="str">
        <f>IF(Sprache=DE,"Anzahl Standorte:","Number of sites:")</f>
        <v>Number of sites:</v>
      </c>
    </row>
    <row r="52" spans="1:13" s="191" customFormat="1" ht="24" customHeight="1" x14ac:dyDescent="0.2">
      <c r="A52" s="363">
        <v>2017</v>
      </c>
      <c r="B52" s="513" t="s">
        <v>10</v>
      </c>
      <c r="C52" s="515"/>
      <c r="D52" s="647" t="str">
        <f>Low</f>
        <v>Low</v>
      </c>
      <c r="E52" s="620"/>
      <c r="F52" s="411" t="str">
        <f>Wenige</f>
        <v>Few</v>
      </c>
      <c r="G52" s="411" t="str">
        <f>Wenige</f>
        <v>Few</v>
      </c>
      <c r="H52" s="647" t="str">
        <f>Nein</f>
        <v>No</v>
      </c>
      <c r="I52" s="620"/>
      <c r="J52" s="411" t="str">
        <f>DolmetscherJa</f>
        <v>No</v>
      </c>
      <c r="K52" s="419">
        <f>Zuschlag1</f>
        <v>0</v>
      </c>
      <c r="L52" s="412">
        <f>IF(Struktur=SingleSite,1,MSnSite1)</f>
        <v>0</v>
      </c>
    </row>
    <row r="53" spans="1:13" s="191" customFormat="1" ht="24" customHeight="1" x14ac:dyDescent="0.2">
      <c r="A53" s="354">
        <f>J_1+1</f>
        <v>2018</v>
      </c>
      <c r="B53" s="647" t="str">
        <f>B52</f>
        <v>Single Site</v>
      </c>
      <c r="C53" s="620"/>
      <c r="D53" s="647" t="str">
        <f>Komplexität1</f>
        <v>Low</v>
      </c>
      <c r="E53" s="620"/>
      <c r="F53" s="411" t="str">
        <f t="shared" ref="F53:H54" si="0">F52</f>
        <v>Few</v>
      </c>
      <c r="G53" s="411" t="str">
        <f t="shared" si="0"/>
        <v>Few</v>
      </c>
      <c r="H53" s="647" t="str">
        <f t="shared" si="0"/>
        <v>No</v>
      </c>
      <c r="I53" s="620"/>
      <c r="J53" s="411" t="str">
        <f>J52</f>
        <v>No</v>
      </c>
      <c r="K53" s="419">
        <f>Zuschlag2</f>
        <v>0</v>
      </c>
      <c r="L53" s="397">
        <f>IF(Struktur=SingleSite,1,MSnSite2)</f>
        <v>0</v>
      </c>
    </row>
    <row r="54" spans="1:13" s="191" customFormat="1" ht="24" customHeight="1" x14ac:dyDescent="0.2">
      <c r="A54" s="354">
        <f>J_2+1</f>
        <v>2019</v>
      </c>
      <c r="B54" s="513" t="str">
        <f>Strukturwunsch2</f>
        <v>Single Site</v>
      </c>
      <c r="C54" s="515"/>
      <c r="D54" s="647" t="str">
        <f>Komplexität2</f>
        <v>Low</v>
      </c>
      <c r="E54" s="620"/>
      <c r="F54" s="411" t="str">
        <f t="shared" si="0"/>
        <v>Few</v>
      </c>
      <c r="G54" s="411" t="str">
        <f t="shared" si="0"/>
        <v>Few</v>
      </c>
      <c r="H54" s="647" t="str">
        <f t="shared" si="0"/>
        <v>No</v>
      </c>
      <c r="I54" s="620"/>
      <c r="J54" s="411" t="str">
        <f>J53</f>
        <v>No</v>
      </c>
      <c r="K54" s="419">
        <f>Zuschlag3</f>
        <v>0</v>
      </c>
      <c r="L54" s="397">
        <f>IF(Struktur=SingleSite,1,MSnSite3)</f>
        <v>0</v>
      </c>
    </row>
    <row r="55" spans="1:13" s="191" customFormat="1" ht="6" customHeight="1" x14ac:dyDescent="0.2">
      <c r="A55" s="32"/>
      <c r="B55" s="48"/>
      <c r="C55" s="20"/>
      <c r="D55" s="20"/>
      <c r="E55" s="366"/>
      <c r="F55" s="366"/>
      <c r="G55" s="366"/>
      <c r="H55" s="366"/>
      <c r="I55" s="366"/>
      <c r="J55" s="366"/>
      <c r="K55" s="366"/>
      <c r="L55" s="367"/>
    </row>
    <row r="56" spans="1:13" s="79" customFormat="1" ht="21.95" customHeight="1" x14ac:dyDescent="0.2">
      <c r="A56" s="516" t="str">
        <f>IF(Sprache=DE,"7. Anzahl Mitarbeiter / Anzahl Schichten","7. Number of Employees / No. of Shifts")</f>
        <v>7. Number of Employees / No. of Shifts</v>
      </c>
      <c r="B56" s="517"/>
      <c r="C56" s="517"/>
      <c r="D56" s="517"/>
      <c r="E56" s="517"/>
      <c r="F56" s="517"/>
      <c r="G56" s="517"/>
      <c r="H56" s="517"/>
      <c r="I56" s="517"/>
      <c r="J56" s="517"/>
      <c r="K56" s="517"/>
      <c r="L56" s="518"/>
    </row>
    <row r="57" spans="1:13" s="191" customFormat="1" ht="18.75" customHeight="1" x14ac:dyDescent="0.2">
      <c r="A57" s="650" t="str">
        <f>IF(Sprache=DE,"Für Unternehmen mit mehreren Standorten: Details zu Mitarbeitern in der 'Standortliste'","For organisations having multi sites: details on employees in 'site list'")</f>
        <v>For organisations having multi sites: details on employees in 'site list'</v>
      </c>
      <c r="B57" s="651"/>
      <c r="C57" s="651"/>
      <c r="D57" s="651"/>
      <c r="E57" s="651"/>
      <c r="F57" s="651"/>
      <c r="G57" s="651"/>
      <c r="H57" s="651"/>
      <c r="I57" s="651"/>
      <c r="J57" s="651"/>
      <c r="K57" s="651"/>
      <c r="L57" s="652"/>
    </row>
    <row r="58" spans="1:13" s="303" customFormat="1" ht="12" customHeight="1" thickBot="1" x14ac:dyDescent="0.25">
      <c r="A58" s="528" t="str">
        <f>IF(Sprache=DE,"Anzahl Mitarbeiter / Anzahl Schichten","Number of Employees / No. of Shifts")</f>
        <v>Number of Employees / No. of Shifts</v>
      </c>
      <c r="B58" s="529"/>
      <c r="C58" s="529"/>
      <c r="D58" s="529"/>
      <c r="E58" s="529"/>
      <c r="F58" s="529"/>
      <c r="G58" s="529"/>
      <c r="H58" s="529"/>
      <c r="I58" s="529"/>
      <c r="J58" s="529"/>
      <c r="K58" s="529"/>
      <c r="L58" s="530"/>
    </row>
    <row r="59" spans="1:13" s="303" customFormat="1" ht="12" customHeight="1" x14ac:dyDescent="0.2">
      <c r="A59" s="531">
        <f>J_1</f>
        <v>2017</v>
      </c>
      <c r="B59" s="532"/>
      <c r="C59" s="532"/>
      <c r="D59" s="533"/>
      <c r="E59" s="534">
        <f>J_2</f>
        <v>2018</v>
      </c>
      <c r="F59" s="535"/>
      <c r="G59" s="535"/>
      <c r="H59" s="536"/>
      <c r="I59" s="531">
        <f>J_3</f>
        <v>2019</v>
      </c>
      <c r="J59" s="532"/>
      <c r="K59" s="532">
        <f>I59</f>
        <v>2019</v>
      </c>
      <c r="L59" s="533"/>
    </row>
    <row r="60" spans="1:13" s="191" customFormat="1" x14ac:dyDescent="0.2">
      <c r="A60" s="304" t="str">
        <f>IF(Sprache=DE,"Gesamt","Overall")</f>
        <v>Overall</v>
      </c>
      <c r="B60" s="305" t="s">
        <v>1169</v>
      </c>
      <c r="C60" s="305" t="s">
        <v>154</v>
      </c>
      <c r="D60" s="306" t="str">
        <f>IF(Sprache=DE,"Schichten","Shifts")</f>
        <v>Shifts</v>
      </c>
      <c r="E60" s="304" t="str">
        <f t="shared" ref="E60:L60" si="1">A60</f>
        <v>Overall</v>
      </c>
      <c r="F60" s="305" t="str">
        <f t="shared" si="1"/>
        <v>Non-Aero</v>
      </c>
      <c r="G60" s="305" t="str">
        <f t="shared" si="1"/>
        <v>#MA</v>
      </c>
      <c r="H60" s="306" t="str">
        <f t="shared" si="1"/>
        <v>Shifts</v>
      </c>
      <c r="I60" s="304" t="str">
        <f t="shared" si="1"/>
        <v>Overall</v>
      </c>
      <c r="J60" s="305" t="str">
        <f t="shared" si="1"/>
        <v>Non-Aero</v>
      </c>
      <c r="K60" s="305" t="str">
        <f t="shared" si="1"/>
        <v>#MA</v>
      </c>
      <c r="L60" s="306" t="str">
        <f t="shared" si="1"/>
        <v>Shifts</v>
      </c>
    </row>
    <row r="61" spans="1:13" s="79" customFormat="1" ht="21.95" customHeight="1" x14ac:dyDescent="0.2">
      <c r="A61" s="361">
        <f>IF(OR(Struktur=SingleSite,Struktur=""),1,MSnMA1)</f>
        <v>1</v>
      </c>
      <c r="B61" s="360">
        <f>IF(OR(Struktur=SingleSite,Struktur=""),0,MSnMA1-MSnMAero1)</f>
        <v>0</v>
      </c>
      <c r="C61" s="359">
        <f>IF(Teilbereich=Ja,nMAg1J-nMAnonA1,nMAg1J)</f>
        <v>1</v>
      </c>
      <c r="D61" s="362">
        <f>IF(OR(Struktur=SingleSite,Struktur=""),1,maxSh1)</f>
        <v>1</v>
      </c>
      <c r="E61" s="361">
        <f>IF(OR(Struktur=SingleSite,Struktur=""),A61,MSnMA2)</f>
        <v>1</v>
      </c>
      <c r="F61" s="360">
        <f>IF(OR(Struktur=SingleSite,Struktur=""),nMAnonA1,MSnMA2-MSnMAero2)</f>
        <v>0</v>
      </c>
      <c r="G61" s="359">
        <f>IF(Teilbereich=Ja,nMAg2J-nMAnonA2,nMAg2J)</f>
        <v>1</v>
      </c>
      <c r="H61" s="362">
        <f>IF(OR(Struktur=SingleSite,Struktur=""),D61,maxSh2)</f>
        <v>1</v>
      </c>
      <c r="I61" s="361">
        <f>IF(OR(Struktur=SingleSite,Struktur=""),E61,MSnMA3)</f>
        <v>1</v>
      </c>
      <c r="J61" s="360">
        <f>IF(OR(Struktur=SingleSite,Struktur=""),nMAnonA2,MSnMA3-MSnMAero3)</f>
        <v>0</v>
      </c>
      <c r="K61" s="359">
        <f>IF(Teilbereich=Ja,nMAg3J-nMAnonA3,nMAg3J)</f>
        <v>1</v>
      </c>
      <c r="L61" s="362">
        <f>IF(OR(Struktur=SingleSite,Struktur=""),H61,maxSh3)</f>
        <v>1</v>
      </c>
      <c r="M61" s="355">
        <f>nMAnonA1+nMAnonA2+nMAnonA3</f>
        <v>0</v>
      </c>
    </row>
    <row r="62" spans="1:13" s="26" customFormat="1" ht="6" customHeight="1" x14ac:dyDescent="0.2">
      <c r="A62" s="525"/>
      <c r="B62" s="526"/>
      <c r="C62" s="526"/>
      <c r="D62" s="526"/>
      <c r="E62" s="526"/>
      <c r="F62" s="526"/>
      <c r="G62" s="526"/>
      <c r="H62" s="526"/>
      <c r="I62" s="526"/>
      <c r="J62" s="526"/>
      <c r="K62" s="526"/>
      <c r="L62" s="527"/>
    </row>
    <row r="63" spans="1:13" s="79" customFormat="1" ht="21.95" customHeight="1" x14ac:dyDescent="0.2">
      <c r="A63" s="516" t="str">
        <f>IF(Sprache=DE,"7.a Teilbereichszertifizierung","7.a Certification only of SubArea") &amp; " Aero"</f>
        <v>7.a Certification only of SubArea Aero</v>
      </c>
      <c r="B63" s="517"/>
      <c r="C63" s="517"/>
      <c r="D63" s="517"/>
      <c r="E63" s="517"/>
      <c r="F63" s="517"/>
      <c r="G63" s="517"/>
      <c r="H63" s="517"/>
      <c r="I63" s="517"/>
      <c r="J63" s="517"/>
      <c r="K63" s="517"/>
      <c r="L63" s="518"/>
    </row>
    <row r="64" spans="1:13" s="191" customFormat="1" ht="24" customHeight="1" x14ac:dyDescent="0.2">
      <c r="A64" s="504" t="str">
        <f>IF(Sprache=DE,"Zertifizierung QM nur für Teilbereich Luftfahrt","Certification QM just for subarea aerospace")</f>
        <v>Certification QM just for subarea aerospace</v>
      </c>
      <c r="B64" s="506"/>
      <c r="C64" s="270" t="str">
        <f>Nein</f>
        <v>No</v>
      </c>
      <c r="D64" s="504" t="str">
        <f>IF(Sprache=DE,"Bezeichnung/Name des Teilbereichs Luftfahrt:","Name/Title of subarea Aerospace:")</f>
        <v>Name/Title of subarea Aerospace:</v>
      </c>
      <c r="E64" s="506"/>
      <c r="F64" s="522"/>
      <c r="G64" s="523"/>
      <c r="H64" s="523"/>
      <c r="I64" s="523"/>
      <c r="J64" s="523"/>
      <c r="K64" s="523"/>
      <c r="L64" s="524"/>
    </row>
    <row r="65" spans="1:13" s="191" customFormat="1" ht="6" customHeight="1" x14ac:dyDescent="0.2">
      <c r="A65" s="32"/>
      <c r="B65" s="48"/>
      <c r="C65" s="20"/>
      <c r="D65" s="20"/>
      <c r="E65" s="20"/>
      <c r="F65" s="20"/>
      <c r="G65" s="358"/>
      <c r="H65" s="358"/>
      <c r="I65" s="18"/>
      <c r="J65" s="18"/>
      <c r="K65" s="18"/>
      <c r="L65" s="19"/>
    </row>
    <row r="66" spans="1:13" s="191" customFormat="1" ht="24" customHeight="1" x14ac:dyDescent="0.2">
      <c r="A66" s="504" t="str">
        <f>IF(Sprache=DE, "Erläuterungen zur Teilbereichszertifizierung","Justification for SubArea Certification")</f>
        <v>Justification for SubArea Certification</v>
      </c>
      <c r="B66" s="505"/>
      <c r="C66" s="519" t="str">
        <f>IF(Teilbereich=Nein,"",IF(Sprache=DE,"Nur unter angemessenen Voraussetzungen möglich! Bitte hier erläutern.","Only possible in the case of special conditions. Please explain here"))</f>
        <v/>
      </c>
      <c r="D66" s="520"/>
      <c r="E66" s="520"/>
      <c r="F66" s="520"/>
      <c r="G66" s="520"/>
      <c r="H66" s="520"/>
      <c r="I66" s="520"/>
      <c r="J66" s="520"/>
      <c r="K66" s="520"/>
      <c r="L66" s="521"/>
    </row>
    <row r="67" spans="1:13" s="191" customFormat="1" ht="6" customHeight="1" x14ac:dyDescent="0.2">
      <c r="A67" s="76"/>
      <c r="B67" s="100"/>
      <c r="C67" s="16"/>
      <c r="D67" s="16"/>
      <c r="E67" s="16"/>
      <c r="F67" s="16"/>
      <c r="G67" s="16"/>
      <c r="H67" s="16"/>
      <c r="I67" s="16"/>
      <c r="J67" s="16"/>
      <c r="K67" s="16"/>
      <c r="L67" s="17"/>
    </row>
    <row r="68" spans="1:13" ht="24" customHeight="1" x14ac:dyDescent="0.2">
      <c r="A68" s="516" t="str">
        <f>IF(Sprache=DE,"8.   Managementsystem-Standards nach EN 91xx","8. Management system standards EN/AS 91xx")</f>
        <v>8. Management system standards EN/AS 91xx</v>
      </c>
      <c r="B68" s="517"/>
      <c r="C68" s="517"/>
      <c r="D68" s="517"/>
      <c r="E68" s="517"/>
      <c r="F68" s="517"/>
      <c r="G68" s="517"/>
      <c r="H68" s="517"/>
      <c r="I68" s="517"/>
      <c r="J68" s="517"/>
      <c r="K68" s="517"/>
      <c r="L68" s="518"/>
    </row>
    <row r="69" spans="1:13" ht="25.5" customHeight="1" x14ac:dyDescent="0.2">
      <c r="A69" s="510" t="str">
        <f>IF(Sprache=DE,"OIN (OASIS-Datenbank) für Zentrale; ","OIN (OASIS Database) for Central Function: ")</f>
        <v xml:space="preserve">OIN (OASIS Database) for Central Function: </v>
      </c>
      <c r="B69" s="511"/>
      <c r="C69" s="511"/>
      <c r="D69" s="511"/>
      <c r="E69" s="511"/>
      <c r="F69" s="512"/>
      <c r="G69" s="513"/>
      <c r="H69" s="514"/>
      <c r="I69" s="514"/>
      <c r="J69" s="514"/>
      <c r="K69" s="514"/>
      <c r="L69" s="515"/>
    </row>
    <row r="70" spans="1:13" ht="8.25" customHeight="1" x14ac:dyDescent="0.2">
      <c r="A70" s="76"/>
      <c r="B70" s="48"/>
      <c r="C70" s="21"/>
      <c r="D70" s="21"/>
      <c r="E70" s="21"/>
      <c r="F70" s="21"/>
      <c r="G70" s="21"/>
      <c r="H70" s="21"/>
      <c r="I70" s="148"/>
      <c r="J70" s="49"/>
      <c r="K70" s="148"/>
      <c r="L70" s="22"/>
      <c r="M70" s="207"/>
    </row>
    <row r="71" spans="1:13" s="15" customFormat="1" ht="30.75" customHeight="1" x14ac:dyDescent="0.2">
      <c r="A71" s="356" t="s">
        <v>1</v>
      </c>
      <c r="B71" s="357" t="str">
        <f>IF(Sprache=DE,"Anfrage","Request")</f>
        <v>Request</v>
      </c>
      <c r="C71" s="357" t="str">
        <f>IF(Sprache=DE,"Auditart","Kind of audit")</f>
        <v>Kind of audit</v>
      </c>
      <c r="D71" s="101" t="str">
        <f>IF(Sprache=DE,"Nicht anwendbar","Not applicable")</f>
        <v>Not applicable</v>
      </c>
      <c r="E71" s="356" t="s">
        <v>163</v>
      </c>
      <c r="F71" s="356" t="s">
        <v>164</v>
      </c>
      <c r="G71" s="356" t="s">
        <v>165</v>
      </c>
      <c r="H71" s="101" t="str">
        <f>IF(Sprache=DE,"Ausgabe","Rev.")</f>
        <v>Rev.</v>
      </c>
      <c r="I71" s="648" t="str">
        <f>IF(Sprache=DE,"Standardspezfifischer Geltungsbereich","Standard specific scope")</f>
        <v>Standard specific scope</v>
      </c>
      <c r="J71" s="648"/>
      <c r="K71" s="648"/>
      <c r="L71" s="649"/>
      <c r="M71" s="208"/>
    </row>
    <row r="72" spans="1:13" ht="50.1" customHeight="1" x14ac:dyDescent="0.2">
      <c r="A72" s="151" t="s">
        <v>21</v>
      </c>
      <c r="B72" s="152" t="str">
        <f>IF(ISBLANK(Auditart1),Nein,Ja)</f>
        <v>No</v>
      </c>
      <c r="C72" s="182"/>
      <c r="D72" s="149"/>
      <c r="E72" s="161" t="str">
        <f>IF(ISBLANK(EAC_1),NoScope,EAC_1)</f>
        <v>21.0</v>
      </c>
      <c r="F72" s="161" t="str">
        <f>IF(ISBLANK(EAC_2),NoScope,EAC_2)</f>
        <v>---</v>
      </c>
      <c r="G72" s="161" t="str">
        <f>IF(ISBLANK(EAC_3),NoScope,EAC_3)</f>
        <v>---</v>
      </c>
      <c r="H72" s="500">
        <v>2009</v>
      </c>
      <c r="I72" s="641" t="str">
        <f>IF(AND(NOT(ISBLANK(Scope)),EN9100Ja=Ja),Scope,"")</f>
        <v/>
      </c>
      <c r="J72" s="641"/>
      <c r="K72" s="641"/>
      <c r="L72" s="642"/>
      <c r="M72" s="208" t="str">
        <f>IF(AND(Auditart1=Zertifizierung,EN9100Rev=2016),Ja,Nein)</f>
        <v>No</v>
      </c>
    </row>
    <row r="73" spans="1:13" ht="50.1" customHeight="1" x14ac:dyDescent="0.2">
      <c r="A73" s="151" t="s">
        <v>22</v>
      </c>
      <c r="B73" s="152" t="str">
        <f>IF(ISBLANK(Auditart2),Nein,Ja)</f>
        <v>No</v>
      </c>
      <c r="C73" s="183"/>
      <c r="D73" s="149"/>
      <c r="E73" s="161" t="str">
        <f>IF(ISBLANK(EAC_1),NoScope,EAC_1)</f>
        <v>21.0</v>
      </c>
      <c r="F73" s="161" t="str">
        <f>IF(ISBLANK(EAC_2),NoScope,EAC_2)</f>
        <v>---</v>
      </c>
      <c r="G73" s="161" t="str">
        <f>IF(ISBLANK(EAC_3),NoScope,EAC_3)</f>
        <v>---</v>
      </c>
      <c r="H73" s="500">
        <v>2015</v>
      </c>
      <c r="I73" s="641" t="str">
        <f>IF(AND(NOT(ISBLANK(Scope)),EN9110Ja=Ja),Scope,"")</f>
        <v/>
      </c>
      <c r="J73" s="641"/>
      <c r="K73" s="641"/>
      <c r="L73" s="642"/>
      <c r="M73" s="208" t="str">
        <f>IF(AND(Auditart2=Zertifizierung,EN9110Rev=2016),Ja,Nein)</f>
        <v>No</v>
      </c>
    </row>
    <row r="74" spans="1:13" ht="50.1" customHeight="1" x14ac:dyDescent="0.2">
      <c r="A74" s="151" t="s">
        <v>8</v>
      </c>
      <c r="B74" s="152" t="str">
        <f>IF(ISBLANK(Auditart3),Nein,Ja)</f>
        <v>No</v>
      </c>
      <c r="C74" s="184"/>
      <c r="D74" s="310" t="str">
        <f>IF(EN9120Ja=Ja,"7.3 Design","")</f>
        <v/>
      </c>
      <c r="E74" s="162" t="s">
        <v>119</v>
      </c>
      <c r="F74" s="161" t="str">
        <f>IF(ISBLANK(EAC_1),NoScope,EAC_1)</f>
        <v>21.0</v>
      </c>
      <c r="G74" s="161" t="str">
        <f>IF(ISBLANK(EAC_2),NoScope,EAC_2)</f>
        <v>---</v>
      </c>
      <c r="H74" s="500">
        <v>2010</v>
      </c>
      <c r="I74" s="641" t="str">
        <f>IF(AND(NOT(ISBLANK(Scope)),EN9120Ja=Ja),Scope,"")</f>
        <v/>
      </c>
      <c r="J74" s="641"/>
      <c r="K74" s="641"/>
      <c r="L74" s="642"/>
      <c r="M74" s="208" t="str">
        <f>IF(AND(Auditart3=Zertifizierung,EN9120Rev=2016),Ja,Nein)</f>
        <v>No</v>
      </c>
    </row>
    <row r="75" spans="1:13" ht="50.1" customHeight="1" x14ac:dyDescent="0.2">
      <c r="A75" s="159" t="str">
        <f>IF(Sprache=DE,"Zusätzlich: ISO 9001","Additional: ISO 9001")</f>
        <v>Additional: ISO 9001</v>
      </c>
      <c r="B75" s="152" t="str">
        <f>IF(ISBLANK(AuditartISO),Nein,Ja)</f>
        <v>No</v>
      </c>
      <c r="C75" s="184"/>
      <c r="D75" s="149"/>
      <c r="E75" s="161" t="str">
        <f>IF(ISBLANK(EAC_1),NoScope,EAC_1)</f>
        <v>21.0</v>
      </c>
      <c r="F75" s="161" t="str">
        <f>IF(ISBLANK(EAC_2),NoScope,EAC_2)</f>
        <v>---</v>
      </c>
      <c r="G75" s="161" t="str">
        <f>IF(ISBLANK(EAC_3),NoScope,EAC_3)</f>
        <v>---</v>
      </c>
      <c r="H75" s="500">
        <v>2008</v>
      </c>
      <c r="I75" s="641" t="str">
        <f>IF(AND(NOT(ISBLANK(Scope)),ISO9001Ja=Ja),Scope,"")</f>
        <v/>
      </c>
      <c r="J75" s="641"/>
      <c r="K75" s="641"/>
      <c r="L75" s="642"/>
      <c r="M75" s="208">
        <f>COUNTIF(M72:M74,Ja)</f>
        <v>0</v>
      </c>
    </row>
    <row r="76" spans="1:13" s="191" customFormat="1" ht="30.75" customHeight="1" x14ac:dyDescent="0.2">
      <c r="A76" s="625" t="str">
        <f>IF(Sprache=DE,"Mehrere AQMS Standards kombiniert - Integrationsumfang der AQM-Systeme:","Some AQMS standards combined - Integration of AQM systems:")</f>
        <v>Some AQMS standards combined - Integration of AQM systems:</v>
      </c>
      <c r="B76" s="626"/>
      <c r="C76" s="626"/>
      <c r="D76" s="627"/>
      <c r="E76" s="636" t="str">
        <f>n_z</f>
        <v>n.a.</v>
      </c>
      <c r="F76" s="637"/>
      <c r="G76" s="637"/>
      <c r="H76" s="638"/>
      <c r="I76" s="634" t="str">
        <f>IF(ISBLANK(IntegAQMS),"",VLOOKUP(IntegAQMS,Kombination,2,FALSE))</f>
        <v>Separate</v>
      </c>
      <c r="J76" s="635"/>
      <c r="K76" s="639" t="str">
        <f>IF(ISNUMBER(I76),IF(Sprache=DE,"Zuschlag","surcharge"),IF(Sprache=DE," pro Standard","per standard"))</f>
        <v>per standard</v>
      </c>
      <c r="L76" s="640"/>
      <c r="M76" s="47"/>
    </row>
    <row r="77" spans="1:13" ht="24" customHeight="1" x14ac:dyDescent="0.2">
      <c r="A77" s="631" t="str">
        <f>IF(Sprache=DE,"Audit Stufe 1 ist wg. Erstzertifizierung erforderlich:","Stage 1 audit is required because of initial certification:")</f>
        <v>Stage 1 audit is required because of initial certification:</v>
      </c>
      <c r="B77" s="632"/>
      <c r="C77" s="632"/>
      <c r="D77" s="633"/>
      <c r="E77" s="153" t="str">
        <f>IF(ISNUMBER(FIND(Rezertifizierung,Auditart1&amp;Auditart2&amp;Auditart3)),Nein,Ja)</f>
        <v>Yes</v>
      </c>
      <c r="F77" s="621" t="str">
        <f>IF(Sprache=DE,"Stufe 1 ist Pficht bei Erstzertifizierung Aero QMS","Stage 1 is a must in Initial Certification Aero QMS")</f>
        <v>Stage 1 is a must in Initial Certification Aero QMS</v>
      </c>
      <c r="G77" s="622"/>
      <c r="H77" s="622"/>
      <c r="I77" s="622"/>
      <c r="J77" s="622"/>
      <c r="K77" s="622"/>
      <c r="L77" s="623"/>
      <c r="M77" s="47"/>
    </row>
    <row r="78" spans="1:13" s="429" customFormat="1" ht="21.95" customHeight="1" x14ac:dyDescent="0.2">
      <c r="A78" s="617" t="str">
        <f>IF(Sprache=DE,"Zusätzliches Stufe 1 Audit erwünscht/sinnvoll:","Additional stage 1 audit required/reasonable:")</f>
        <v>Additional stage 1 audit required/reasonable:</v>
      </c>
      <c r="B78" s="618"/>
      <c r="C78" s="618"/>
      <c r="D78" s="624"/>
      <c r="E78" s="242" t="str">
        <f>Nein</f>
        <v>No</v>
      </c>
      <c r="F78" s="628" t="str">
        <f>IF(Sprache=DE,"Änderungen oder andere Anlässe für ein zusätzliches Stufe 1 Audit liegen vor?","Changes/Modifications or other reaseons for additional stage 1 audit exist?")</f>
        <v>Changes/Modifications or other reaseons for additional stage 1 audit exist?</v>
      </c>
      <c r="G78" s="629"/>
      <c r="H78" s="629"/>
      <c r="I78" s="629"/>
      <c r="J78" s="629"/>
      <c r="K78" s="629"/>
      <c r="L78" s="630"/>
    </row>
    <row r="79" spans="1:13" s="97" customFormat="1" ht="6" customHeight="1" x14ac:dyDescent="0.2">
      <c r="A79" s="428"/>
      <c r="B79" s="421"/>
      <c r="C79" s="421"/>
      <c r="D79" s="421"/>
      <c r="E79" s="421"/>
      <c r="F79" s="421"/>
      <c r="G79" s="421"/>
      <c r="H79" s="421"/>
      <c r="I79" s="421"/>
      <c r="J79" s="421"/>
      <c r="K79" s="421"/>
      <c r="L79" s="423"/>
    </row>
    <row r="80" spans="1:13" ht="24" customHeight="1" x14ac:dyDescent="0.2">
      <c r="A80" s="516" t="str">
        <f>IF(Sprache=DE,"Wechsel der Zertifizierungsstelle (Übertragung)","Change in CB (Transfer)")</f>
        <v>Change in CB (Transfer)</v>
      </c>
      <c r="B80" s="517"/>
      <c r="C80" s="517"/>
      <c r="D80" s="517"/>
      <c r="E80" s="517"/>
      <c r="F80" s="517"/>
      <c r="G80" s="517"/>
      <c r="H80" s="517"/>
      <c r="I80" s="517"/>
      <c r="J80" s="517"/>
      <c r="K80" s="517"/>
      <c r="L80" s="518"/>
    </row>
    <row r="81" spans="1:14" s="97" customFormat="1" ht="6" customHeight="1" x14ac:dyDescent="0.2">
      <c r="A81" s="428"/>
      <c r="B81" s="421"/>
      <c r="C81" s="421"/>
      <c r="D81" s="421"/>
      <c r="E81" s="421"/>
      <c r="F81" s="421"/>
      <c r="G81" s="421"/>
      <c r="H81" s="421"/>
      <c r="I81" s="421"/>
      <c r="J81" s="421"/>
      <c r="K81" s="421"/>
      <c r="L81" s="423"/>
    </row>
    <row r="82" spans="1:14" s="191" customFormat="1" ht="24" customHeight="1" x14ac:dyDescent="0.2">
      <c r="A82" s="617" t="str">
        <f>IF(Sprache=DE,"Wechsel der Zertifizierungsstelle nach Zertifizierung bzw. zur Rezertifizierung","Transfer of CB after certification or to recertification")&amp;":"</f>
        <v>Transfer of CB after certification or to recertification:</v>
      </c>
      <c r="B82" s="618"/>
      <c r="C82" s="618"/>
      <c r="D82" s="618"/>
      <c r="E82" s="618"/>
      <c r="F82" s="618"/>
      <c r="G82" s="618"/>
      <c r="H82" s="618"/>
      <c r="I82" s="618"/>
      <c r="J82" s="624"/>
      <c r="K82" s="436" t="str">
        <f>Nein</f>
        <v>No</v>
      </c>
      <c r="L82" s="437"/>
    </row>
    <row r="83" spans="1:14" s="191" customFormat="1" ht="24" customHeight="1" x14ac:dyDescent="0.2">
      <c r="A83" s="617" t="str">
        <f>IF(Sprache=DE,"Bisherige Zert-Stelle","Actual CB")&amp;": "</f>
        <v xml:space="preserve">Actual CB: </v>
      </c>
      <c r="B83" s="618"/>
      <c r="C83" s="618"/>
      <c r="D83" s="624"/>
      <c r="E83" s="653"/>
      <c r="F83" s="654"/>
      <c r="G83" s="654"/>
      <c r="H83" s="654"/>
      <c r="I83" s="654"/>
      <c r="J83" s="654"/>
      <c r="K83" s="655"/>
      <c r="L83" s="437"/>
    </row>
    <row r="84" spans="1:14" s="191" customFormat="1" ht="24" customHeight="1" x14ac:dyDescent="0.2">
      <c r="A84" s="618" t="str">
        <f>IF(Sprache=DE,"Falls nicht in Liste: Namen eingeben","If not in list: Please type name")&amp;":"</f>
        <v>If not in list: Please type name:</v>
      </c>
      <c r="B84" s="618"/>
      <c r="C84" s="618"/>
      <c r="D84" s="624"/>
      <c r="E84" s="657"/>
      <c r="F84" s="658"/>
      <c r="G84" s="658"/>
      <c r="H84" s="658"/>
      <c r="I84" s="658"/>
      <c r="J84" s="658"/>
      <c r="K84" s="659"/>
      <c r="L84" s="457">
        <f ca="1">TODAY()</f>
        <v>44346</v>
      </c>
    </row>
    <row r="85" spans="1:14" s="191" customFormat="1" ht="24" customHeight="1" x14ac:dyDescent="0.2">
      <c r="A85" s="617" t="str">
        <f>IF(Sprache=DE,"Ablaufdatum des bestehenden Zertifikats","Expiry date of exisiting certificate")&amp;": "</f>
        <v xml:space="preserve">Expiry date of exisiting certificate: </v>
      </c>
      <c r="B85" s="618"/>
      <c r="C85" s="618"/>
      <c r="D85" s="618"/>
      <c r="E85" s="618"/>
      <c r="F85" s="618"/>
      <c r="G85" s="618"/>
      <c r="H85" s="618"/>
      <c r="I85" s="618"/>
      <c r="J85" s="624"/>
      <c r="K85" s="459"/>
      <c r="L85" s="457">
        <f ca="1">IF(ISNUMBER(K85),EDATE(K85,-3),L84)</f>
        <v>44346</v>
      </c>
    </row>
    <row r="86" spans="1:14" s="191" customFormat="1" ht="24" customHeight="1" x14ac:dyDescent="0.2">
      <c r="A86" s="618" t="str">
        <f>IF(Sprache=DE,"Nächstes planmäßiges Audit","Next regular audit")&amp;":"</f>
        <v>Next regular audit:</v>
      </c>
      <c r="B86" s="618"/>
      <c r="C86" s="618"/>
      <c r="D86" s="624"/>
      <c r="E86" s="660" t="str">
        <f>IF(OR(Restlaufzeit=0,Transfer&lt;&gt;Ja),"---",IF(Restlaufzeit&gt;=24,Ü1,IF(Restlaufzeit&gt;=12,Ü2,Rezertifizierung)))</f>
        <v>---</v>
      </c>
      <c r="F86" s="661"/>
      <c r="G86" s="662"/>
      <c r="H86" s="618" t="str">
        <f>IF(Sprache=DE,"Plantermin des  Audits für Transfer","Scheduled date for transfer audit")&amp;":"</f>
        <v>Scheduled date for transfer audit:</v>
      </c>
      <c r="I86" s="618"/>
      <c r="J86" s="624"/>
      <c r="K86" s="460" t="str">
        <f ca="1">IF(AND(Transfer=Ja,ISNUMBER(K85)),DATE(YEAR(L85)-INT((L85-TODAY())/365),MONTH(L85),DAY(L85)),"")</f>
        <v/>
      </c>
      <c r="L86" s="458">
        <f>IF(ISNUMBER(K85),(YEAR(K85)-YEAR(K86))*12+MONTH(K85)-MONTH(K86),0)</f>
        <v>0</v>
      </c>
    </row>
    <row r="87" spans="1:14" ht="24" customHeight="1" x14ac:dyDescent="0.2">
      <c r="A87" s="617" t="str">
        <f>IF(Sprache=DE,"Zeitpunkt des Wechsels","Stage of transfer")&amp;": "</f>
        <v xml:space="preserve">Stage of transfer: </v>
      </c>
      <c r="B87" s="618"/>
      <c r="C87" s="618"/>
      <c r="D87" s="618"/>
      <c r="E87" s="618"/>
      <c r="F87" s="618"/>
      <c r="G87" s="618"/>
      <c r="H87" s="624"/>
      <c r="I87" s="656" t="str">
        <f>IF(OR(Restlaufzeit=0,Transfer&lt;&gt;Ja),"---",IF(Restlaufzeit&gt;=24,Transfer1,IF(Restlaufzeit&gt;=12,Transfer2,IF(Restlaufzeit&gt;3,Transfer3,TransferReZert))))</f>
        <v>---</v>
      </c>
      <c r="J87" s="656"/>
      <c r="K87" s="656"/>
      <c r="L87" s="437"/>
      <c r="N87" s="191"/>
    </row>
    <row r="88" spans="1:14" s="191" customFormat="1" ht="24" customHeight="1" x14ac:dyDescent="0.2">
      <c r="A88" s="617" t="str">
        <f>IF(Sprache=DE,"Wechsel im Zusammenhang mit regulärem Audit","Transfer together with regular audit")&amp;": "</f>
        <v xml:space="preserve">Transfer together with regular audit: </v>
      </c>
      <c r="B88" s="618"/>
      <c r="C88" s="618"/>
      <c r="D88" s="618"/>
      <c r="E88" s="618"/>
      <c r="F88" s="618"/>
      <c r="G88" s="618"/>
      <c r="H88" s="618"/>
      <c r="I88" s="618"/>
      <c r="J88" s="624"/>
      <c r="K88" s="436" t="str">
        <f>Ja</f>
        <v>Yes</v>
      </c>
      <c r="L88" s="437"/>
    </row>
    <row r="89" spans="1:14" ht="24" customHeight="1" x14ac:dyDescent="0.2">
      <c r="A89" s="617" t="str">
        <f>IF(Sprache=DE,"Wenn Transfer (Übertragung): Restlaufzeit der bestehenden Zertifizierung zum geplanten Audittermin (in Monaten):","If transfer: remaining time of existing certification at planned audit date (in months):")</f>
        <v>If transfer: remaining time of existing certification at planned audit date (in months):</v>
      </c>
      <c r="B89" s="618"/>
      <c r="C89" s="618"/>
      <c r="D89" s="618"/>
      <c r="E89" s="618"/>
      <c r="F89" s="618"/>
      <c r="G89" s="618"/>
      <c r="H89" s="618"/>
      <c r="I89" s="618"/>
      <c r="J89" s="624"/>
      <c r="K89" s="393" t="str">
        <f>IF(L86&gt;0,L86,"")</f>
        <v/>
      </c>
      <c r="L89" s="27" t="str">
        <f>IF(L86&gt;0,L86,"")</f>
        <v/>
      </c>
    </row>
    <row r="90" spans="1:14" ht="6" customHeight="1" x14ac:dyDescent="0.2">
      <c r="A90" s="13"/>
      <c r="B90" s="14"/>
      <c r="C90" s="14"/>
      <c r="D90" s="14"/>
      <c r="E90" s="14"/>
      <c r="F90" s="14"/>
      <c r="G90" s="14"/>
      <c r="H90" s="14"/>
      <c r="I90" s="14"/>
      <c r="J90" s="14"/>
      <c r="K90" s="14"/>
      <c r="L90" s="61"/>
    </row>
    <row r="91" spans="1:14" x14ac:dyDescent="0.2">
      <c r="A91" s="424" t="str">
        <f>Ausfüllanleitung</f>
        <v>Please fill coloured cells - as relevant</v>
      </c>
      <c r="B91" s="425"/>
      <c r="C91" s="425"/>
      <c r="D91" s="425"/>
      <c r="E91" s="425"/>
      <c r="F91" s="425"/>
      <c r="G91" s="425"/>
      <c r="H91" s="425"/>
      <c r="I91" s="425"/>
      <c r="J91" s="426"/>
      <c r="K91" s="425"/>
      <c r="L91" s="427" t="str">
        <f>Formblatt&amp;"/"&amp;FormblattRev</f>
        <v>A19F100/02/08.17</v>
      </c>
    </row>
    <row r="92" spans="1:14" x14ac:dyDescent="0.2">
      <c r="A92" s="25"/>
      <c r="B92" s="25"/>
      <c r="C92" s="25"/>
      <c r="D92" s="25"/>
      <c r="E92" s="25"/>
      <c r="F92" s="25"/>
      <c r="G92" s="25"/>
      <c r="H92" s="25"/>
      <c r="I92" s="25"/>
      <c r="J92" s="25"/>
      <c r="K92" s="25"/>
      <c r="L92" s="25"/>
    </row>
    <row r="93" spans="1:14" x14ac:dyDescent="0.2">
      <c r="A93" s="25"/>
      <c r="B93" s="25"/>
      <c r="C93" s="25"/>
      <c r="D93" s="25"/>
      <c r="E93" s="25"/>
      <c r="F93" s="25"/>
      <c r="G93" s="25"/>
      <c r="H93" s="25"/>
      <c r="I93" s="25"/>
      <c r="J93" s="25"/>
      <c r="K93" s="25"/>
      <c r="L93" s="25"/>
    </row>
    <row r="94" spans="1:14" x14ac:dyDescent="0.2">
      <c r="A94" s="25"/>
      <c r="B94" s="25"/>
      <c r="C94" s="25"/>
      <c r="D94" s="25"/>
      <c r="E94" s="25"/>
      <c r="F94" s="25"/>
      <c r="G94" s="25"/>
      <c r="H94" s="25"/>
      <c r="I94" s="25"/>
      <c r="J94" s="25"/>
      <c r="K94" s="25"/>
      <c r="L94" s="25"/>
    </row>
    <row r="95" spans="1:14" x14ac:dyDescent="0.2">
      <c r="A95" s="25"/>
      <c r="B95" s="25"/>
      <c r="C95" s="25"/>
      <c r="D95" s="25"/>
      <c r="E95" s="25"/>
      <c r="F95" s="25"/>
      <c r="G95" s="25"/>
      <c r="H95" s="25"/>
      <c r="I95" s="25"/>
      <c r="J95" s="25"/>
      <c r="K95" s="25"/>
      <c r="L95" s="25"/>
    </row>
    <row r="96" spans="1:14" x14ac:dyDescent="0.2">
      <c r="A96" s="25"/>
      <c r="B96" s="25"/>
      <c r="C96" s="25"/>
      <c r="D96" s="25"/>
      <c r="E96" s="25"/>
      <c r="F96" s="25"/>
      <c r="G96" s="25"/>
      <c r="H96" s="25"/>
      <c r="I96" s="25"/>
      <c r="J96" s="25"/>
      <c r="K96" s="25"/>
      <c r="L96" s="25"/>
    </row>
    <row r="97" spans="1:12" x14ac:dyDescent="0.2">
      <c r="A97" s="25"/>
      <c r="B97" s="25"/>
      <c r="C97" s="25"/>
      <c r="D97" s="25"/>
      <c r="E97" s="25"/>
      <c r="F97" s="25"/>
      <c r="G97" s="25"/>
      <c r="H97" s="25"/>
      <c r="I97" s="25"/>
      <c r="J97" s="25"/>
      <c r="K97" s="25"/>
      <c r="L97" s="25"/>
    </row>
    <row r="98" spans="1:12" x14ac:dyDescent="0.2">
      <c r="A98" s="25"/>
      <c r="B98" s="25"/>
      <c r="C98" s="25"/>
      <c r="D98" s="25"/>
      <c r="E98" s="25"/>
      <c r="F98" s="25"/>
      <c r="G98" s="25"/>
      <c r="H98" s="25"/>
      <c r="I98" s="25"/>
      <c r="J98" s="25"/>
      <c r="K98" s="25"/>
      <c r="L98" s="25"/>
    </row>
    <row r="99" spans="1:12" x14ac:dyDescent="0.2">
      <c r="A99" s="25"/>
      <c r="B99" s="25"/>
      <c r="C99" s="25"/>
      <c r="D99" s="25"/>
      <c r="E99" s="25"/>
      <c r="F99" s="25"/>
      <c r="G99" s="25"/>
      <c r="H99" s="25"/>
      <c r="I99" s="25"/>
      <c r="J99" s="25"/>
      <c r="K99" s="25"/>
      <c r="L99" s="25"/>
    </row>
    <row r="100" spans="1:12" x14ac:dyDescent="0.2">
      <c r="A100" s="25"/>
      <c r="B100" s="25"/>
      <c r="C100" s="25"/>
      <c r="D100" s="25"/>
      <c r="E100" s="25"/>
      <c r="F100" s="25"/>
      <c r="G100" s="25"/>
      <c r="H100" s="25"/>
      <c r="I100" s="25"/>
      <c r="J100" s="25"/>
      <c r="K100" s="25"/>
      <c r="L100" s="25"/>
    </row>
    <row r="101" spans="1:12" x14ac:dyDescent="0.2">
      <c r="A101" s="25"/>
      <c r="B101" s="25"/>
      <c r="C101" s="25"/>
      <c r="D101" s="25"/>
      <c r="E101" s="25"/>
      <c r="F101" s="25"/>
      <c r="G101" s="25"/>
      <c r="H101" s="25"/>
      <c r="I101" s="25"/>
      <c r="J101" s="25"/>
      <c r="K101" s="25"/>
      <c r="L101" s="25"/>
    </row>
    <row r="102" spans="1:12" x14ac:dyDescent="0.2">
      <c r="A102" s="25"/>
      <c r="B102" s="25"/>
      <c r="C102" s="25"/>
      <c r="D102" s="25"/>
      <c r="E102" s="25"/>
      <c r="F102" s="25"/>
      <c r="G102" s="25"/>
      <c r="H102" s="25"/>
      <c r="I102" s="25"/>
      <c r="J102" s="25"/>
      <c r="K102" s="25"/>
      <c r="L102" s="25"/>
    </row>
    <row r="103" spans="1:12" x14ac:dyDescent="0.2">
      <c r="A103" s="25"/>
      <c r="B103" s="25"/>
      <c r="C103" s="25"/>
      <c r="D103" s="25"/>
      <c r="E103" s="25"/>
      <c r="F103" s="25"/>
      <c r="G103" s="25"/>
      <c r="H103" s="25"/>
      <c r="I103" s="25"/>
      <c r="J103" s="25"/>
      <c r="K103" s="25"/>
      <c r="L103" s="25"/>
    </row>
    <row r="104" spans="1:12" x14ac:dyDescent="0.2">
      <c r="A104" s="25"/>
      <c r="B104" s="25"/>
      <c r="C104" s="25"/>
      <c r="D104" s="25"/>
      <c r="E104" s="25"/>
      <c r="F104" s="25"/>
      <c r="G104" s="25"/>
      <c r="H104" s="25"/>
      <c r="I104" s="25"/>
      <c r="J104" s="25"/>
      <c r="K104" s="25"/>
      <c r="L104" s="25"/>
    </row>
    <row r="105" spans="1:12" x14ac:dyDescent="0.2">
      <c r="A105" s="25"/>
      <c r="B105" s="25"/>
      <c r="C105" s="25"/>
      <c r="D105" s="25"/>
      <c r="E105" s="25"/>
      <c r="F105" s="25"/>
      <c r="G105" s="25"/>
      <c r="H105" s="25"/>
      <c r="I105" s="25"/>
      <c r="J105" s="25"/>
      <c r="K105" s="25"/>
      <c r="L105" s="25"/>
    </row>
    <row r="106" spans="1:12" x14ac:dyDescent="0.2">
      <c r="A106" s="25"/>
      <c r="B106" s="25"/>
      <c r="C106" s="25"/>
      <c r="D106" s="25"/>
      <c r="E106" s="25"/>
      <c r="F106" s="25"/>
      <c r="G106" s="25"/>
      <c r="H106" s="25"/>
      <c r="I106" s="25"/>
      <c r="J106" s="25"/>
      <c r="K106" s="25"/>
      <c r="L106" s="25"/>
    </row>
    <row r="107" spans="1:12" x14ac:dyDescent="0.2">
      <c r="A107" s="25"/>
      <c r="B107" s="25"/>
      <c r="C107" s="25"/>
      <c r="D107" s="25"/>
      <c r="E107" s="25"/>
      <c r="F107" s="25"/>
      <c r="G107" s="25"/>
      <c r="H107" s="25"/>
      <c r="I107" s="25"/>
      <c r="J107" s="25"/>
      <c r="K107" s="25"/>
      <c r="L107" s="25"/>
    </row>
    <row r="108" spans="1:12" x14ac:dyDescent="0.2">
      <c r="A108" s="25"/>
      <c r="B108" s="25"/>
      <c r="C108" s="25"/>
      <c r="D108" s="25"/>
      <c r="E108" s="25"/>
      <c r="F108" s="25"/>
      <c r="G108" s="25"/>
      <c r="H108" s="25"/>
      <c r="I108" s="25"/>
      <c r="J108" s="25"/>
      <c r="K108" s="25"/>
      <c r="L108" s="25"/>
    </row>
    <row r="109" spans="1:12" x14ac:dyDescent="0.2">
      <c r="A109" s="25"/>
      <c r="B109" s="25"/>
      <c r="C109" s="25"/>
      <c r="D109" s="25"/>
      <c r="E109" s="25"/>
      <c r="F109" s="25"/>
      <c r="G109" s="25"/>
      <c r="H109" s="25"/>
      <c r="I109" s="25"/>
      <c r="J109" s="25"/>
      <c r="K109" s="25"/>
      <c r="L109" s="25"/>
    </row>
    <row r="110" spans="1:12" x14ac:dyDescent="0.2">
      <c r="A110" s="25"/>
      <c r="B110" s="25"/>
      <c r="C110" s="25"/>
      <c r="D110" s="25"/>
      <c r="E110" s="25"/>
      <c r="F110" s="25"/>
      <c r="G110" s="25"/>
      <c r="H110" s="25"/>
      <c r="I110" s="25"/>
      <c r="J110" s="25"/>
      <c r="K110" s="25"/>
      <c r="L110" s="25"/>
    </row>
    <row r="111" spans="1:12" x14ac:dyDescent="0.2">
      <c r="A111" s="25"/>
      <c r="B111" s="25"/>
      <c r="C111" s="25"/>
      <c r="D111" s="25"/>
      <c r="E111" s="25"/>
      <c r="F111" s="25"/>
      <c r="G111" s="25"/>
      <c r="H111" s="25"/>
      <c r="I111" s="25"/>
      <c r="J111" s="25"/>
      <c r="K111" s="25"/>
      <c r="L111" s="25"/>
    </row>
    <row r="112" spans="1:12" x14ac:dyDescent="0.2">
      <c r="A112" s="25"/>
      <c r="B112" s="25"/>
      <c r="C112" s="25"/>
      <c r="D112" s="25"/>
      <c r="E112" s="25"/>
      <c r="F112" s="25"/>
      <c r="G112" s="25"/>
      <c r="H112" s="25"/>
      <c r="I112" s="25"/>
      <c r="J112" s="25"/>
      <c r="K112" s="25"/>
      <c r="L112" s="25"/>
    </row>
    <row r="113" spans="1:12" x14ac:dyDescent="0.2">
      <c r="A113" s="25"/>
      <c r="B113" s="25"/>
      <c r="C113" s="25"/>
      <c r="D113" s="25"/>
      <c r="E113" s="25"/>
      <c r="F113" s="25"/>
      <c r="G113" s="25"/>
      <c r="H113" s="25"/>
      <c r="I113" s="25"/>
      <c r="J113" s="25"/>
      <c r="K113" s="25"/>
      <c r="L113" s="25"/>
    </row>
    <row r="114" spans="1:12" x14ac:dyDescent="0.2">
      <c r="A114" s="25"/>
      <c r="B114" s="25"/>
      <c r="C114" s="25"/>
      <c r="D114" s="25"/>
      <c r="E114" s="25"/>
      <c r="F114" s="25"/>
      <c r="G114" s="25"/>
      <c r="H114" s="25"/>
      <c r="I114" s="25"/>
      <c r="J114" s="25"/>
      <c r="K114" s="25"/>
      <c r="L114" s="25"/>
    </row>
    <row r="115" spans="1:12" x14ac:dyDescent="0.2">
      <c r="A115" s="25"/>
      <c r="B115" s="25"/>
      <c r="C115" s="25"/>
      <c r="D115" s="25"/>
      <c r="E115" s="25"/>
      <c r="F115" s="25"/>
      <c r="G115" s="25"/>
      <c r="H115" s="25"/>
      <c r="I115" s="25"/>
      <c r="J115" s="25"/>
      <c r="K115" s="25"/>
      <c r="L115" s="25"/>
    </row>
    <row r="116" spans="1:12" x14ac:dyDescent="0.2">
      <c r="A116" s="25"/>
      <c r="B116" s="25"/>
      <c r="C116" s="25"/>
      <c r="D116" s="25"/>
      <c r="E116" s="25"/>
      <c r="F116" s="25"/>
      <c r="G116" s="25"/>
      <c r="H116" s="25"/>
      <c r="I116" s="25"/>
      <c r="J116" s="25"/>
      <c r="K116" s="25"/>
      <c r="L116" s="25"/>
    </row>
    <row r="117" spans="1:12" x14ac:dyDescent="0.2">
      <c r="A117" s="25"/>
      <c r="B117" s="25"/>
      <c r="C117" s="25"/>
      <c r="D117" s="25"/>
      <c r="E117" s="25"/>
      <c r="F117" s="25"/>
      <c r="G117" s="25"/>
      <c r="H117" s="25"/>
      <c r="I117" s="25"/>
      <c r="J117" s="25"/>
      <c r="K117" s="25"/>
      <c r="L117" s="25"/>
    </row>
    <row r="118" spans="1:12" x14ac:dyDescent="0.2">
      <c r="A118" s="25"/>
      <c r="B118" s="25"/>
      <c r="C118" s="25"/>
      <c r="D118" s="25"/>
      <c r="E118" s="25"/>
      <c r="F118" s="25"/>
      <c r="G118" s="25"/>
      <c r="H118" s="25"/>
      <c r="I118" s="25"/>
      <c r="J118" s="25"/>
      <c r="K118" s="25"/>
      <c r="L118" s="25"/>
    </row>
    <row r="119" spans="1:12" x14ac:dyDescent="0.2">
      <c r="A119" s="25"/>
      <c r="B119" s="25"/>
      <c r="C119" s="25"/>
      <c r="D119" s="25"/>
      <c r="E119" s="25"/>
      <c r="F119" s="25"/>
      <c r="G119" s="25"/>
      <c r="H119" s="25"/>
      <c r="I119" s="25"/>
      <c r="J119" s="25"/>
      <c r="K119" s="25"/>
      <c r="L119" s="25"/>
    </row>
    <row r="120" spans="1:12" x14ac:dyDescent="0.2">
      <c r="A120" s="25"/>
      <c r="B120" s="25"/>
      <c r="C120" s="25"/>
      <c r="D120" s="25"/>
      <c r="E120" s="25"/>
      <c r="F120" s="25"/>
      <c r="G120" s="25"/>
      <c r="H120" s="25"/>
      <c r="I120" s="25"/>
      <c r="J120" s="25"/>
      <c r="K120" s="25"/>
      <c r="L120" s="25"/>
    </row>
    <row r="121" spans="1:12" x14ac:dyDescent="0.2">
      <c r="A121" s="25"/>
      <c r="B121" s="25"/>
      <c r="C121" s="25"/>
      <c r="D121" s="25"/>
      <c r="E121" s="25"/>
      <c r="F121" s="25"/>
      <c r="G121" s="25"/>
      <c r="H121" s="25"/>
      <c r="I121" s="25"/>
      <c r="J121" s="25"/>
      <c r="K121" s="25"/>
      <c r="L121" s="25"/>
    </row>
    <row r="122" spans="1:12" x14ac:dyDescent="0.2">
      <c r="A122" s="25"/>
      <c r="B122" s="25"/>
      <c r="C122" s="25"/>
      <c r="D122" s="25"/>
      <c r="E122" s="25"/>
      <c r="F122" s="25"/>
      <c r="G122" s="25"/>
      <c r="H122" s="25"/>
      <c r="I122" s="25"/>
      <c r="J122" s="25"/>
      <c r="K122" s="25"/>
      <c r="L122" s="25"/>
    </row>
    <row r="123" spans="1:12" x14ac:dyDescent="0.2">
      <c r="A123" s="25"/>
      <c r="B123" s="25"/>
      <c r="C123" s="25"/>
      <c r="D123" s="25"/>
      <c r="E123" s="25"/>
      <c r="F123" s="25"/>
      <c r="G123" s="25"/>
      <c r="H123" s="25"/>
      <c r="I123" s="25"/>
      <c r="J123" s="25"/>
      <c r="K123" s="25"/>
      <c r="L123" s="25"/>
    </row>
    <row r="124" spans="1:12" x14ac:dyDescent="0.2">
      <c r="A124" s="25"/>
      <c r="B124" s="25"/>
      <c r="C124" s="25"/>
      <c r="D124" s="25"/>
      <c r="E124" s="25"/>
      <c r="F124" s="25"/>
      <c r="G124" s="25"/>
      <c r="H124" s="25"/>
      <c r="I124" s="25"/>
      <c r="J124" s="25"/>
      <c r="K124" s="25"/>
      <c r="L124" s="25"/>
    </row>
    <row r="125" spans="1:12" x14ac:dyDescent="0.2">
      <c r="A125" s="25"/>
      <c r="B125" s="25"/>
      <c r="C125" s="25"/>
      <c r="D125" s="25"/>
      <c r="E125" s="25"/>
      <c r="F125" s="25"/>
      <c r="G125" s="25"/>
      <c r="H125" s="25"/>
      <c r="I125" s="25"/>
      <c r="J125" s="25"/>
      <c r="K125" s="25"/>
      <c r="L125" s="25"/>
    </row>
    <row r="126" spans="1:12" x14ac:dyDescent="0.2">
      <c r="A126" s="25"/>
      <c r="B126" s="25"/>
      <c r="C126" s="25"/>
      <c r="D126" s="25"/>
      <c r="E126" s="25"/>
      <c r="F126" s="25"/>
      <c r="G126" s="25"/>
      <c r="H126" s="25"/>
      <c r="I126" s="25"/>
      <c r="J126" s="25"/>
      <c r="K126" s="25"/>
      <c r="L126" s="25"/>
    </row>
    <row r="127" spans="1:12" x14ac:dyDescent="0.2">
      <c r="A127" s="25"/>
      <c r="B127" s="25"/>
      <c r="C127" s="25"/>
      <c r="D127" s="25"/>
      <c r="E127" s="25"/>
      <c r="F127" s="25"/>
      <c r="G127" s="25"/>
      <c r="H127" s="25"/>
      <c r="I127" s="25"/>
      <c r="J127" s="25"/>
      <c r="K127" s="25"/>
      <c r="L127" s="25"/>
    </row>
    <row r="128" spans="1:12" x14ac:dyDescent="0.2">
      <c r="A128" s="25"/>
      <c r="B128" s="25"/>
      <c r="C128" s="25"/>
      <c r="D128" s="25"/>
      <c r="E128" s="25"/>
      <c r="F128" s="25"/>
      <c r="G128" s="25"/>
      <c r="H128" s="25"/>
      <c r="I128" s="25"/>
      <c r="J128" s="25"/>
      <c r="K128" s="25"/>
      <c r="L128" s="25"/>
    </row>
    <row r="129" spans="1:12" x14ac:dyDescent="0.2">
      <c r="A129" s="25"/>
      <c r="B129" s="25"/>
      <c r="C129" s="25"/>
      <c r="D129" s="25"/>
      <c r="E129" s="25"/>
      <c r="F129" s="25"/>
      <c r="G129" s="25"/>
      <c r="H129" s="25"/>
      <c r="I129" s="25"/>
      <c r="J129" s="25"/>
      <c r="K129" s="25"/>
      <c r="L129" s="25"/>
    </row>
    <row r="130" spans="1:12" x14ac:dyDescent="0.2">
      <c r="A130" s="25"/>
      <c r="B130" s="25"/>
      <c r="C130" s="25"/>
      <c r="D130" s="25"/>
      <c r="E130" s="25"/>
      <c r="F130" s="25"/>
      <c r="G130" s="25"/>
      <c r="H130" s="25"/>
      <c r="I130" s="25"/>
      <c r="J130" s="25"/>
      <c r="K130" s="25"/>
      <c r="L130" s="25"/>
    </row>
    <row r="131" spans="1:12" x14ac:dyDescent="0.2">
      <c r="A131" s="25"/>
      <c r="B131" s="25"/>
      <c r="C131" s="25"/>
      <c r="D131" s="25"/>
      <c r="E131" s="25"/>
      <c r="F131" s="25"/>
      <c r="G131" s="25"/>
      <c r="H131" s="25"/>
      <c r="I131" s="25"/>
      <c r="J131" s="25"/>
      <c r="K131" s="25"/>
      <c r="L131" s="25"/>
    </row>
    <row r="132" spans="1:12" x14ac:dyDescent="0.2">
      <c r="A132" s="25"/>
      <c r="B132" s="25"/>
      <c r="C132" s="25"/>
      <c r="D132" s="25"/>
      <c r="E132" s="25"/>
      <c r="F132" s="25"/>
      <c r="G132" s="25"/>
      <c r="H132" s="25"/>
      <c r="I132" s="25"/>
      <c r="J132" s="25"/>
      <c r="K132" s="25"/>
      <c r="L132" s="25"/>
    </row>
    <row r="133" spans="1:12" x14ac:dyDescent="0.2">
      <c r="A133" s="25"/>
      <c r="B133" s="25"/>
      <c r="C133" s="25"/>
      <c r="D133" s="25"/>
      <c r="E133" s="25"/>
      <c r="F133" s="25"/>
      <c r="G133" s="25"/>
      <c r="H133" s="25"/>
      <c r="I133" s="25"/>
      <c r="J133" s="25"/>
      <c r="K133" s="25"/>
      <c r="L133" s="25"/>
    </row>
    <row r="134" spans="1:12" x14ac:dyDescent="0.2">
      <c r="A134" s="25"/>
      <c r="B134" s="25"/>
      <c r="C134" s="25"/>
      <c r="D134" s="25"/>
      <c r="E134" s="25"/>
      <c r="F134" s="25"/>
      <c r="G134" s="25"/>
      <c r="H134" s="25"/>
      <c r="I134" s="25"/>
      <c r="J134" s="25"/>
      <c r="K134" s="25"/>
      <c r="L134" s="25"/>
    </row>
    <row r="135" spans="1:12" x14ac:dyDescent="0.2">
      <c r="A135" s="25"/>
      <c r="B135" s="25"/>
      <c r="C135" s="25"/>
      <c r="D135" s="25"/>
      <c r="E135" s="25"/>
      <c r="F135" s="25"/>
      <c r="G135" s="25"/>
      <c r="H135" s="25"/>
      <c r="I135" s="25"/>
      <c r="J135" s="25"/>
      <c r="K135" s="25"/>
      <c r="L135" s="25"/>
    </row>
    <row r="136" spans="1:12" x14ac:dyDescent="0.2">
      <c r="A136" s="25"/>
      <c r="B136" s="25"/>
      <c r="C136" s="25"/>
      <c r="D136" s="25"/>
      <c r="E136" s="25"/>
      <c r="F136" s="25"/>
      <c r="G136" s="25"/>
      <c r="H136" s="25"/>
      <c r="I136" s="25"/>
      <c r="J136" s="25"/>
      <c r="K136" s="25"/>
      <c r="L136" s="25"/>
    </row>
    <row r="137" spans="1:12" x14ac:dyDescent="0.2">
      <c r="A137" s="25"/>
      <c r="B137" s="25"/>
      <c r="C137" s="25"/>
      <c r="D137" s="25"/>
      <c r="E137" s="25"/>
      <c r="F137" s="25"/>
      <c r="G137" s="25"/>
      <c r="H137" s="25"/>
      <c r="I137" s="25"/>
      <c r="J137" s="25"/>
      <c r="K137" s="25"/>
      <c r="L137" s="25"/>
    </row>
    <row r="138" spans="1:12" x14ac:dyDescent="0.2">
      <c r="A138" s="25"/>
      <c r="B138" s="25"/>
      <c r="C138" s="25"/>
      <c r="D138" s="25"/>
      <c r="E138" s="25"/>
      <c r="F138" s="25"/>
      <c r="G138" s="25"/>
      <c r="H138" s="25"/>
      <c r="I138" s="25"/>
      <c r="J138" s="25"/>
      <c r="K138" s="25"/>
      <c r="L138" s="25"/>
    </row>
    <row r="139" spans="1:12" x14ac:dyDescent="0.2">
      <c r="A139" s="25"/>
      <c r="B139" s="25"/>
      <c r="C139" s="25"/>
      <c r="D139" s="25"/>
      <c r="E139" s="25"/>
      <c r="F139" s="25"/>
      <c r="G139" s="25"/>
      <c r="H139" s="25"/>
      <c r="I139" s="25"/>
      <c r="J139" s="25"/>
      <c r="K139" s="25"/>
      <c r="L139" s="25"/>
    </row>
    <row r="140" spans="1:12" x14ac:dyDescent="0.2">
      <c r="A140" s="25"/>
      <c r="B140" s="25"/>
      <c r="C140" s="25"/>
      <c r="D140" s="25"/>
      <c r="E140" s="25"/>
      <c r="F140" s="25"/>
      <c r="G140" s="25"/>
      <c r="H140" s="25"/>
      <c r="I140" s="25"/>
      <c r="J140" s="25"/>
      <c r="K140" s="25"/>
      <c r="L140" s="25"/>
    </row>
    <row r="141" spans="1:12" x14ac:dyDescent="0.2">
      <c r="A141" s="25"/>
      <c r="B141" s="25"/>
      <c r="C141" s="25"/>
      <c r="D141" s="25"/>
      <c r="E141" s="25"/>
      <c r="F141" s="25"/>
      <c r="G141" s="25"/>
      <c r="H141" s="25"/>
      <c r="I141" s="25"/>
      <c r="J141" s="25"/>
      <c r="K141" s="25"/>
      <c r="L141" s="25"/>
    </row>
    <row r="142" spans="1:12" x14ac:dyDescent="0.2">
      <c r="A142" s="25"/>
      <c r="B142" s="25"/>
      <c r="C142" s="25"/>
      <c r="D142" s="25"/>
      <c r="E142" s="25"/>
      <c r="F142" s="25"/>
      <c r="G142" s="25"/>
      <c r="H142" s="25"/>
      <c r="I142" s="25"/>
      <c r="J142" s="25"/>
      <c r="K142" s="25"/>
      <c r="L142" s="25"/>
    </row>
    <row r="143" spans="1:12" x14ac:dyDescent="0.2">
      <c r="A143" s="25"/>
      <c r="B143" s="25"/>
      <c r="C143" s="25"/>
      <c r="D143" s="25"/>
      <c r="E143" s="25"/>
      <c r="F143" s="25"/>
      <c r="G143" s="25"/>
      <c r="H143" s="25"/>
      <c r="I143" s="25"/>
      <c r="J143" s="25"/>
      <c r="K143" s="25"/>
      <c r="L143" s="25"/>
    </row>
    <row r="144" spans="1:12" x14ac:dyDescent="0.2">
      <c r="A144" s="25"/>
      <c r="B144" s="25"/>
      <c r="C144" s="25"/>
      <c r="D144" s="25"/>
      <c r="E144" s="25"/>
      <c r="F144" s="25"/>
      <c r="G144" s="25"/>
      <c r="H144" s="25"/>
      <c r="I144" s="25"/>
      <c r="J144" s="25"/>
      <c r="K144" s="25"/>
      <c r="L144" s="25"/>
    </row>
    <row r="145" spans="1:12" x14ac:dyDescent="0.2">
      <c r="A145" s="25"/>
      <c r="B145" s="25"/>
      <c r="C145" s="25"/>
      <c r="D145" s="25"/>
      <c r="E145" s="25"/>
      <c r="F145" s="25"/>
      <c r="G145" s="25"/>
      <c r="H145" s="25"/>
      <c r="I145" s="25"/>
      <c r="J145" s="25"/>
      <c r="K145" s="25"/>
      <c r="L145" s="25"/>
    </row>
    <row r="146" spans="1:12" x14ac:dyDescent="0.2">
      <c r="A146" s="25"/>
      <c r="B146" s="25"/>
      <c r="C146" s="25"/>
      <c r="D146" s="25"/>
      <c r="E146" s="25"/>
      <c r="F146" s="25"/>
      <c r="G146" s="25"/>
      <c r="H146" s="25"/>
      <c r="I146" s="25"/>
      <c r="J146" s="25"/>
      <c r="K146" s="25"/>
      <c r="L146" s="25"/>
    </row>
    <row r="147" spans="1:12" x14ac:dyDescent="0.2">
      <c r="A147" s="25"/>
      <c r="B147" s="25"/>
      <c r="C147" s="25"/>
      <c r="D147" s="25"/>
      <c r="E147" s="25"/>
      <c r="F147" s="25"/>
      <c r="G147" s="25"/>
      <c r="H147" s="25"/>
      <c r="I147" s="25"/>
      <c r="J147" s="25"/>
      <c r="K147" s="25"/>
      <c r="L147" s="25"/>
    </row>
    <row r="148" spans="1:12" x14ac:dyDescent="0.2">
      <c r="A148" s="25"/>
      <c r="B148" s="25"/>
      <c r="C148" s="25"/>
      <c r="D148" s="25"/>
      <c r="E148" s="25"/>
      <c r="F148" s="25"/>
      <c r="G148" s="25"/>
      <c r="H148" s="25"/>
      <c r="I148" s="25"/>
      <c r="J148" s="25"/>
      <c r="K148" s="25"/>
      <c r="L148" s="25"/>
    </row>
    <row r="149" spans="1:12" x14ac:dyDescent="0.2">
      <c r="A149" s="25"/>
      <c r="B149" s="25"/>
      <c r="C149" s="25"/>
      <c r="D149" s="25"/>
      <c r="E149" s="25"/>
      <c r="F149" s="25"/>
      <c r="G149" s="25"/>
      <c r="H149" s="25"/>
      <c r="I149" s="25"/>
      <c r="J149" s="25"/>
      <c r="K149" s="25"/>
      <c r="L149" s="25"/>
    </row>
    <row r="150" spans="1:12" x14ac:dyDescent="0.2">
      <c r="A150" s="25"/>
      <c r="B150" s="25"/>
      <c r="C150" s="25"/>
      <c r="D150" s="25"/>
      <c r="E150" s="25"/>
      <c r="F150" s="25"/>
      <c r="G150" s="25"/>
      <c r="H150" s="25"/>
      <c r="I150" s="25"/>
      <c r="J150" s="25"/>
      <c r="K150" s="25"/>
      <c r="L150" s="25"/>
    </row>
    <row r="151" spans="1:12" x14ac:dyDescent="0.2">
      <c r="A151" s="25"/>
      <c r="B151" s="25"/>
      <c r="C151" s="25"/>
      <c r="D151" s="25"/>
      <c r="E151" s="25"/>
      <c r="F151" s="25"/>
      <c r="G151" s="25"/>
      <c r="H151" s="25"/>
      <c r="I151" s="25"/>
      <c r="J151" s="25"/>
      <c r="K151" s="25"/>
      <c r="L151" s="25"/>
    </row>
    <row r="152" spans="1:12" x14ac:dyDescent="0.2">
      <c r="A152" s="25"/>
      <c r="B152" s="25"/>
      <c r="C152" s="25"/>
      <c r="D152" s="25"/>
      <c r="E152" s="25"/>
      <c r="F152" s="25"/>
      <c r="G152" s="25"/>
      <c r="H152" s="25"/>
      <c r="I152" s="25"/>
      <c r="J152" s="25"/>
      <c r="K152" s="25"/>
      <c r="L152" s="25"/>
    </row>
    <row r="153" spans="1:12" x14ac:dyDescent="0.2">
      <c r="A153" s="25"/>
      <c r="B153" s="25"/>
      <c r="C153" s="25"/>
      <c r="D153" s="25"/>
      <c r="E153" s="25"/>
      <c r="F153" s="25"/>
      <c r="G153" s="25"/>
      <c r="H153" s="25"/>
      <c r="I153" s="25"/>
      <c r="J153" s="25"/>
      <c r="K153" s="25"/>
      <c r="L153" s="25"/>
    </row>
    <row r="154" spans="1:12" x14ac:dyDescent="0.2">
      <c r="A154" s="25"/>
      <c r="B154" s="25"/>
      <c r="C154" s="25"/>
      <c r="D154" s="25"/>
      <c r="E154" s="25"/>
      <c r="F154" s="25"/>
      <c r="G154" s="25"/>
      <c r="H154" s="25"/>
      <c r="I154" s="25"/>
      <c r="J154" s="25"/>
      <c r="K154" s="25"/>
      <c r="L154" s="25"/>
    </row>
    <row r="155" spans="1:12" x14ac:dyDescent="0.2">
      <c r="A155" s="25"/>
      <c r="B155" s="25"/>
      <c r="C155" s="25"/>
      <c r="D155" s="25"/>
      <c r="E155" s="25"/>
      <c r="F155" s="25"/>
      <c r="G155" s="25"/>
      <c r="H155" s="25"/>
      <c r="I155" s="25"/>
      <c r="J155" s="25"/>
      <c r="K155" s="25"/>
      <c r="L155" s="25"/>
    </row>
  </sheetData>
  <sheetProtection password="E9DA" sheet="1" objects="1" scenarios="1" selectLockedCells="1"/>
  <mergeCells count="128">
    <mergeCell ref="A88:J88"/>
    <mergeCell ref="E83:K83"/>
    <mergeCell ref="I87:K87"/>
    <mergeCell ref="A82:J82"/>
    <mergeCell ref="A87:H87"/>
    <mergeCell ref="A89:J89"/>
    <mergeCell ref="E84:K84"/>
    <mergeCell ref="A84:D84"/>
    <mergeCell ref="A83:D83"/>
    <mergeCell ref="A85:J85"/>
    <mergeCell ref="A86:D86"/>
    <mergeCell ref="E86:G86"/>
    <mergeCell ref="H86:J86"/>
    <mergeCell ref="D45:L45"/>
    <mergeCell ref="A46:C46"/>
    <mergeCell ref="D46:L46"/>
    <mergeCell ref="A80:L80"/>
    <mergeCell ref="I48:L48"/>
    <mergeCell ref="A47:G47"/>
    <mergeCell ref="A48:G48"/>
    <mergeCell ref="B51:C51"/>
    <mergeCell ref="D51:E51"/>
    <mergeCell ref="H51:I51"/>
    <mergeCell ref="B52:C52"/>
    <mergeCell ref="B53:C53"/>
    <mergeCell ref="B54:C54"/>
    <mergeCell ref="D52:E52"/>
    <mergeCell ref="D53:E53"/>
    <mergeCell ref="D54:E54"/>
    <mergeCell ref="H52:I52"/>
    <mergeCell ref="H53:I53"/>
    <mergeCell ref="H54:I54"/>
    <mergeCell ref="I75:L75"/>
    <mergeCell ref="I72:L72"/>
    <mergeCell ref="I71:L71"/>
    <mergeCell ref="A56:L56"/>
    <mergeCell ref="A57:L57"/>
    <mergeCell ref="F77:L77"/>
    <mergeCell ref="A78:D78"/>
    <mergeCell ref="A76:D76"/>
    <mergeCell ref="F78:L78"/>
    <mergeCell ref="A77:D77"/>
    <mergeCell ref="I76:J76"/>
    <mergeCell ref="E76:H76"/>
    <mergeCell ref="K76:L76"/>
    <mergeCell ref="I73:L73"/>
    <mergeCell ref="I74:L74"/>
    <mergeCell ref="A2:G2"/>
    <mergeCell ref="A5:B5"/>
    <mergeCell ref="A9:B9"/>
    <mergeCell ref="A11:B11"/>
    <mergeCell ref="C5:L5"/>
    <mergeCell ref="A7:B7"/>
    <mergeCell ref="C7:L7"/>
    <mergeCell ref="G31:H31"/>
    <mergeCell ref="C15:G15"/>
    <mergeCell ref="A15:B15"/>
    <mergeCell ref="A17:B17"/>
    <mergeCell ref="C17:L17"/>
    <mergeCell ref="A22:L22"/>
    <mergeCell ref="A21:B21"/>
    <mergeCell ref="C21:L21"/>
    <mergeCell ref="E13:G13"/>
    <mergeCell ref="H13:I13"/>
    <mergeCell ref="J13:L13"/>
    <mergeCell ref="A34:L34"/>
    <mergeCell ref="I25:L25"/>
    <mergeCell ref="B23:G23"/>
    <mergeCell ref="E25:G25"/>
    <mergeCell ref="B25:C25"/>
    <mergeCell ref="A26:L26"/>
    <mergeCell ref="I35:L35"/>
    <mergeCell ref="A35:H35"/>
    <mergeCell ref="A39:L39"/>
    <mergeCell ref="A33:L33"/>
    <mergeCell ref="A36:B36"/>
    <mergeCell ref="C36:D36"/>
    <mergeCell ref="E36:K36"/>
    <mergeCell ref="A37:G37"/>
    <mergeCell ref="I37:L37"/>
    <mergeCell ref="E1:J1"/>
    <mergeCell ref="A1:D1"/>
    <mergeCell ref="C31:F31"/>
    <mergeCell ref="I31:L31"/>
    <mergeCell ref="K1:L2"/>
    <mergeCell ref="A3:J3"/>
    <mergeCell ref="K3:L3"/>
    <mergeCell ref="I23:L23"/>
    <mergeCell ref="C9:L9"/>
    <mergeCell ref="A16:L16"/>
    <mergeCell ref="A4:L4"/>
    <mergeCell ref="E11:L11"/>
    <mergeCell ref="A19:B19"/>
    <mergeCell ref="F19:L19"/>
    <mergeCell ref="A13:B13"/>
    <mergeCell ref="I15:L15"/>
    <mergeCell ref="A30:L30"/>
    <mergeCell ref="A31:B31"/>
    <mergeCell ref="B27:G27"/>
    <mergeCell ref="I27:L27"/>
    <mergeCell ref="B29:C29"/>
    <mergeCell ref="E29:G29"/>
    <mergeCell ref="I29:L29"/>
    <mergeCell ref="H2:I2"/>
    <mergeCell ref="A41:C41"/>
    <mergeCell ref="E41:G41"/>
    <mergeCell ref="I41:K41"/>
    <mergeCell ref="A40:L40"/>
    <mergeCell ref="A69:F69"/>
    <mergeCell ref="G69:L69"/>
    <mergeCell ref="A68:L68"/>
    <mergeCell ref="A50:L50"/>
    <mergeCell ref="C66:L66"/>
    <mergeCell ref="A66:B66"/>
    <mergeCell ref="F64:L64"/>
    <mergeCell ref="A64:B64"/>
    <mergeCell ref="D64:E64"/>
    <mergeCell ref="A62:L62"/>
    <mergeCell ref="A63:L63"/>
    <mergeCell ref="A58:L58"/>
    <mergeCell ref="A59:D59"/>
    <mergeCell ref="E59:H59"/>
    <mergeCell ref="I59:L59"/>
    <mergeCell ref="A43:L43"/>
    <mergeCell ref="A45:C45"/>
    <mergeCell ref="I44:L44"/>
    <mergeCell ref="A44:G44"/>
    <mergeCell ref="I47:L47"/>
  </mergeCells>
  <phoneticPr fontId="7" type="noConversion"/>
  <conditionalFormatting sqref="M70 A71:A75 E71:G71 A52:B52 B54">
    <cfRule type="cellIs" dxfId="12" priority="69" stopIfTrue="1" operator="equal">
      <formula>"Erstzertifizierung"</formula>
    </cfRule>
  </conditionalFormatting>
  <conditionalFormatting sqref="J2">
    <cfRule type="expression" dxfId="11" priority="66" stopIfTrue="1">
      <formula>AND(Bestandskunde=Ja,ISBLANK(ZE))</formula>
    </cfRule>
  </conditionalFormatting>
  <conditionalFormatting sqref="J2">
    <cfRule type="expression" dxfId="10" priority="65">
      <formula>AND(ISBLANK(ZE),AuswahlArtKunde="Bestandskunde")</formula>
    </cfRule>
  </conditionalFormatting>
  <conditionalFormatting sqref="A53:A54 B54">
    <cfRule type="cellIs" dxfId="9" priority="63" operator="equal">
      <formula>"Nein"</formula>
    </cfRule>
  </conditionalFormatting>
  <conditionalFormatting sqref="G69">
    <cfRule type="cellIs" dxfId="8" priority="52" operator="equal">
      <formula>""</formula>
    </cfRule>
  </conditionalFormatting>
  <conditionalFormatting sqref="C72:C75">
    <cfRule type="expression" dxfId="7" priority="50">
      <formula>AND($B72=Ja,ISBLANK($C72))</formula>
    </cfRule>
  </conditionalFormatting>
  <conditionalFormatting sqref="I47:I48 M47:M48">
    <cfRule type="expression" dxfId="6" priority="93">
      <formula>$H$47=Ja</formula>
    </cfRule>
  </conditionalFormatting>
  <conditionalFormatting sqref="A52">
    <cfRule type="expression" dxfId="5" priority="2">
      <formula>$A$52&lt;&gt;YEAR(TODAY())</formula>
    </cfRule>
  </conditionalFormatting>
  <conditionalFormatting sqref="C64">
    <cfRule type="cellIs" dxfId="4" priority="1" operator="equal">
      <formula>Ja</formula>
    </cfRule>
  </conditionalFormatting>
  <dataValidations count="25">
    <dataValidation type="list" allowBlank="1" showInputMessage="1" showErrorMessage="1" sqref="E76">
      <formula1>IF(COUNTIF(B72:B74,"="&amp;Ja)&gt;1,Integration,Einzelstandard)</formula1>
    </dataValidation>
    <dataValidation type="list" allowBlank="1" showInputMessage="1" showErrorMessage="1" sqref="I87">
      <formula1>IF(Transfer=Ja,ArtTransfer,NIL)</formula1>
    </dataValidation>
    <dataValidation type="whole" allowBlank="1" showInputMessage="1" showErrorMessage="1" sqref="K89">
      <formula1>0</formula1>
      <formula2>36</formula2>
    </dataValidation>
    <dataValidation type="list" allowBlank="1" showInputMessage="1" showErrorMessage="1" sqref="E83">
      <formula1>CBNames</formula1>
    </dataValidation>
    <dataValidation type="list" allowBlank="1" showInputMessage="1" showErrorMessage="1" sqref="H52:J54 H37 H47:H48 H41 D41 L41 E77 H44 L36 K82">
      <formula1>JaNein</formula1>
    </dataValidation>
    <dataValidation type="list" allowBlank="1" showInputMessage="1" showErrorMessage="1" sqref="B52 B54">
      <formula1>MultiSite</formula1>
    </dataValidation>
    <dataValidation type="list" allowBlank="1" showInputMessage="1" showErrorMessage="1" sqref="D52:D54">
      <formula1>ListeKomplexität</formula1>
    </dataValidation>
    <dataValidation type="whole" allowBlank="1" showInputMessage="1" showErrorMessage="1" sqref="A52">
      <formula1>JahrVon</formula1>
      <formula2>JahrBis</formula2>
    </dataValidation>
    <dataValidation type="list" allowBlank="1" showInputMessage="1" showErrorMessage="1" sqref="E78">
      <formula1>IF(OR(Stufe1Init=Ja,Stufe1Transfer=Ja),Nein,JaNein)</formula1>
    </dataValidation>
    <dataValidation type="list" allowBlank="1" showInputMessage="1" showErrorMessage="1" sqref="C72:C75">
      <formula1>Art</formula1>
    </dataValidation>
    <dataValidation type="list" allowBlank="1" showInputMessage="1" showErrorMessage="1" sqref="E72:G73 E75:G75 F74:G74">
      <formula1>Scopeliste</formula1>
    </dataValidation>
    <dataValidation type="list" allowBlank="1" showInputMessage="1" showErrorMessage="1" sqref="D75 D72:D73">
      <formula1>Ausschluss</formula1>
    </dataValidation>
    <dataValidation operator="greaterThanOrEqual" allowBlank="1" showInputMessage="1" showErrorMessage="1" sqref="C61"/>
    <dataValidation type="decimal" operator="greaterThanOrEqual" allowBlank="1" showInputMessage="1" showErrorMessage="1" sqref="D61:L61 A61:B61">
      <formula1>0</formula1>
    </dataValidation>
    <dataValidation type="list" allowBlank="1" showInputMessage="1" showErrorMessage="1" sqref="I35:L35 C36">
      <formula1>Sprachenliste</formula1>
    </dataValidation>
    <dataValidation type="list" operator="greaterThan" allowBlank="1" showInputMessage="1" showErrorMessage="1" sqref="D19:E19">
      <formula1>Scopeliste</formula1>
    </dataValidation>
    <dataValidation operator="greaterThan" allowBlank="1" showInputMessage="1" showErrorMessage="1" sqref="C21 C19"/>
    <dataValidation type="list" allowBlank="1" showInputMessage="1" showErrorMessage="1" sqref="E13">
      <formula1>IF(Sprache=DE,LänderDE,LänderEN)</formula1>
    </dataValidation>
    <dataValidation type="list" allowBlank="1" showInputMessage="1" showErrorMessage="1" sqref="J2">
      <formula1>Sprachauswahl</formula1>
    </dataValidation>
    <dataValidation type="list" allowBlank="1" showInputMessage="1" showErrorMessage="1" sqref="F52:G54">
      <formula1>Tätigkeiten</formula1>
    </dataValidation>
    <dataValidation type="date" allowBlank="1" showInputMessage="1" showErrorMessage="1" sqref="K85">
      <formula1>TODAY()</formula1>
      <formula2>EDATE(TODAY(),60)</formula2>
    </dataValidation>
    <dataValidation type="list" allowBlank="1" showInputMessage="1" showErrorMessage="1" sqref="H72">
      <formula1>EN9100v</formula1>
    </dataValidation>
    <dataValidation type="list" allowBlank="1" showInputMessage="1" showErrorMessage="1" sqref="H73">
      <formula1>EN9110v</formula1>
    </dataValidation>
    <dataValidation type="list" allowBlank="1" showInputMessage="1" showErrorMessage="1" sqref="H74">
      <formula1>EN9120v</formula1>
    </dataValidation>
    <dataValidation type="list" allowBlank="1" showInputMessage="1" showErrorMessage="1" sqref="H75">
      <formula1>ISO9001v</formula1>
    </dataValidation>
  </dataValidations>
  <pageMargins left="0.78740157480314965" right="0.59055118110236227" top="0.78740157480314965" bottom="0.59055118110236227" header="0.51181102362204722" footer="0.51181102362204722"/>
  <pageSetup paperSize="9" scale="63" fitToHeight="4" orientation="portrait" r:id="rId1"/>
  <headerFooter scaleWithDoc="0">
    <oddHeader>&amp;L&amp;F&amp;R&amp;A</oddHeader>
    <oddFooter>&amp;LSeite &amp;P / &amp;N&amp;R&amp;D / &amp;T</oddFooter>
  </headerFooter>
  <rowBreaks count="1" manualBreakCount="1">
    <brk id="67" max="11"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86"/>
  <sheetViews>
    <sheetView workbookViewId="0">
      <pane xSplit="1" ySplit="2" topLeftCell="C3" activePane="bottomRight" state="frozenSplit"/>
      <selection pane="topRight" activeCell="B1" sqref="B1"/>
      <selection pane="bottomLeft" activeCell="A5" sqref="A5"/>
      <selection pane="bottomRight" activeCell="K14" sqref="K14"/>
    </sheetView>
  </sheetViews>
  <sheetFormatPr defaultColWidth="11.42578125" defaultRowHeight="12.75" x14ac:dyDescent="0.2"/>
  <cols>
    <col min="1" max="1" width="71.85546875" style="192" bestFit="1" customWidth="1"/>
    <col min="2" max="2" width="67.5703125" customWidth="1"/>
    <col min="3" max="5" width="10.7109375" style="192" customWidth="1"/>
    <col min="6" max="9" width="10.7109375" customWidth="1"/>
  </cols>
  <sheetData>
    <row r="1" spans="1:9" s="192" customFormat="1" ht="13.5" customHeight="1" x14ac:dyDescent="0.2">
      <c r="A1" s="873" t="s">
        <v>1261</v>
      </c>
      <c r="B1" s="873"/>
      <c r="C1" s="431">
        <v>42592</v>
      </c>
      <c r="D1" s="455"/>
      <c r="E1" s="455"/>
      <c r="F1" s="433"/>
      <c r="G1" s="432"/>
      <c r="H1" s="432"/>
      <c r="I1" s="432"/>
    </row>
    <row r="2" spans="1:9" s="435" customFormat="1" x14ac:dyDescent="0.2">
      <c r="A2" s="434" t="s">
        <v>1262</v>
      </c>
      <c r="B2" s="434" t="s">
        <v>1182</v>
      </c>
      <c r="C2" s="434">
        <f>G2</f>
        <v>9100</v>
      </c>
      <c r="D2" s="434">
        <f t="shared" ref="D2:E2" si="0">H2</f>
        <v>9110</v>
      </c>
      <c r="E2" s="434">
        <f t="shared" si="0"/>
        <v>9120</v>
      </c>
      <c r="F2" s="434" t="s">
        <v>1260</v>
      </c>
      <c r="G2" s="434">
        <v>9100</v>
      </c>
      <c r="H2" s="434">
        <v>9110</v>
      </c>
      <c r="I2" s="434">
        <v>9120</v>
      </c>
    </row>
    <row r="3" spans="1:9" x14ac:dyDescent="0.2">
      <c r="A3" s="107" t="s">
        <v>1271</v>
      </c>
      <c r="B3" s="107" t="s">
        <v>1183</v>
      </c>
      <c r="C3" s="107" t="str">
        <f t="shared" ref="C3:C34" si="1">IF(G3="Ja",Ja,Nein)</f>
        <v>Yes</v>
      </c>
      <c r="D3" s="107" t="str">
        <f t="shared" ref="D3:D34" si="2">IF(H3="Ja",Ja,Nein)</f>
        <v>No</v>
      </c>
      <c r="E3" s="107" t="str">
        <f t="shared" ref="E3:E34" si="3">IF(I3="Ja",Ja,Nein)</f>
        <v>No</v>
      </c>
      <c r="F3" s="107"/>
      <c r="G3" s="107" t="s">
        <v>1268</v>
      </c>
      <c r="H3" s="107" t="s">
        <v>1170</v>
      </c>
      <c r="I3" s="107" t="s">
        <v>1170</v>
      </c>
    </row>
    <row r="4" spans="1:9" x14ac:dyDescent="0.2">
      <c r="A4" s="107" t="s">
        <v>1272</v>
      </c>
      <c r="B4" s="107" t="s">
        <v>1184</v>
      </c>
      <c r="C4" s="107" t="str">
        <f t="shared" si="1"/>
        <v>Yes</v>
      </c>
      <c r="D4" s="107" t="str">
        <f t="shared" si="2"/>
        <v>No</v>
      </c>
      <c r="E4" s="107" t="str">
        <f t="shared" si="3"/>
        <v>Yes</v>
      </c>
      <c r="F4" s="107"/>
      <c r="G4" s="107" t="s">
        <v>1268</v>
      </c>
      <c r="H4" s="107" t="s">
        <v>1170</v>
      </c>
      <c r="I4" s="107" t="s">
        <v>1268</v>
      </c>
    </row>
    <row r="5" spans="1:9" x14ac:dyDescent="0.2">
      <c r="A5" s="107" t="s">
        <v>1273</v>
      </c>
      <c r="B5" s="107" t="s">
        <v>1185</v>
      </c>
      <c r="C5" s="107" t="str">
        <f t="shared" si="1"/>
        <v>Yes</v>
      </c>
      <c r="D5" s="107" t="str">
        <f t="shared" si="2"/>
        <v>No</v>
      </c>
      <c r="E5" s="107" t="str">
        <f t="shared" si="3"/>
        <v>Yes</v>
      </c>
      <c r="F5" s="107"/>
      <c r="G5" s="107" t="s">
        <v>1268</v>
      </c>
      <c r="H5" s="107" t="s">
        <v>1170</v>
      </c>
      <c r="I5" s="107" t="s">
        <v>1268</v>
      </c>
    </row>
    <row r="6" spans="1:9" x14ac:dyDescent="0.2">
      <c r="A6" s="107" t="s">
        <v>1274</v>
      </c>
      <c r="B6" s="107" t="s">
        <v>1186</v>
      </c>
      <c r="C6" s="107" t="str">
        <f t="shared" si="1"/>
        <v>Yes</v>
      </c>
      <c r="D6" s="107" t="str">
        <f t="shared" si="2"/>
        <v>Yes</v>
      </c>
      <c r="E6" s="107" t="str">
        <f t="shared" si="3"/>
        <v>Yes</v>
      </c>
      <c r="F6" s="107"/>
      <c r="G6" s="107" t="s">
        <v>1268</v>
      </c>
      <c r="H6" s="107" t="s">
        <v>1268</v>
      </c>
      <c r="I6" s="107" t="s">
        <v>1268</v>
      </c>
    </row>
    <row r="7" spans="1:9" x14ac:dyDescent="0.2">
      <c r="A7" s="107" t="s">
        <v>1275</v>
      </c>
      <c r="B7" s="107" t="s">
        <v>1187</v>
      </c>
      <c r="C7" s="107" t="str">
        <f t="shared" si="1"/>
        <v>Yes</v>
      </c>
      <c r="D7" s="107" t="str">
        <f t="shared" si="2"/>
        <v>Yes</v>
      </c>
      <c r="E7" s="107" t="str">
        <f t="shared" si="3"/>
        <v>Yes</v>
      </c>
      <c r="F7" s="107"/>
      <c r="G7" s="107" t="s">
        <v>1268</v>
      </c>
      <c r="H7" s="107" t="s">
        <v>1268</v>
      </c>
      <c r="I7" s="107" t="s">
        <v>1268</v>
      </c>
    </row>
    <row r="8" spans="1:9" x14ac:dyDescent="0.2">
      <c r="A8" s="107" t="s">
        <v>1276</v>
      </c>
      <c r="B8" s="107" t="s">
        <v>1188</v>
      </c>
      <c r="C8" s="107" t="str">
        <f t="shared" si="1"/>
        <v>Yes</v>
      </c>
      <c r="D8" s="107" t="str">
        <f t="shared" si="2"/>
        <v>Yes</v>
      </c>
      <c r="E8" s="107" t="str">
        <f t="shared" si="3"/>
        <v>Yes</v>
      </c>
      <c r="F8" s="107"/>
      <c r="G8" s="107" t="s">
        <v>1268</v>
      </c>
      <c r="H8" s="107" t="s">
        <v>1268</v>
      </c>
      <c r="I8" s="107" t="s">
        <v>1268</v>
      </c>
    </row>
    <row r="9" spans="1:9" x14ac:dyDescent="0.2">
      <c r="A9" s="107" t="s">
        <v>1277</v>
      </c>
      <c r="B9" s="107" t="s">
        <v>1189</v>
      </c>
      <c r="C9" s="107" t="str">
        <f t="shared" si="1"/>
        <v>Yes</v>
      </c>
      <c r="D9" s="107" t="str">
        <f t="shared" si="2"/>
        <v>No</v>
      </c>
      <c r="E9" s="107" t="str">
        <f t="shared" si="3"/>
        <v>Yes</v>
      </c>
      <c r="F9" s="107"/>
      <c r="G9" s="107" t="s">
        <v>1268</v>
      </c>
      <c r="H9" s="107" t="s">
        <v>1170</v>
      </c>
      <c r="I9" s="107" t="s">
        <v>1268</v>
      </c>
    </row>
    <row r="10" spans="1:9" x14ac:dyDescent="0.2">
      <c r="A10" s="107" t="s">
        <v>1278</v>
      </c>
      <c r="B10" s="107" t="s">
        <v>1190</v>
      </c>
      <c r="C10" s="107" t="str">
        <f t="shared" si="1"/>
        <v>Yes</v>
      </c>
      <c r="D10" s="107" t="str">
        <f t="shared" si="2"/>
        <v>Yes</v>
      </c>
      <c r="E10" s="107" t="str">
        <f t="shared" si="3"/>
        <v>Yes</v>
      </c>
      <c r="F10" s="107"/>
      <c r="G10" s="107" t="s">
        <v>1268</v>
      </c>
      <c r="H10" s="107" t="s">
        <v>1268</v>
      </c>
      <c r="I10" s="107" t="s">
        <v>1268</v>
      </c>
    </row>
    <row r="11" spans="1:9" x14ac:dyDescent="0.2">
      <c r="A11" s="107" t="s">
        <v>1279</v>
      </c>
      <c r="B11" s="107" t="s">
        <v>1191</v>
      </c>
      <c r="C11" s="107" t="str">
        <f t="shared" si="1"/>
        <v>Yes</v>
      </c>
      <c r="D11" s="107" t="str">
        <f t="shared" si="2"/>
        <v>No</v>
      </c>
      <c r="E11" s="107" t="str">
        <f t="shared" si="3"/>
        <v>No</v>
      </c>
      <c r="F11" s="107"/>
      <c r="G11" s="107" t="s">
        <v>1268</v>
      </c>
      <c r="H11" s="107" t="s">
        <v>1170</v>
      </c>
      <c r="I11" s="107" t="s">
        <v>1170</v>
      </c>
    </row>
    <row r="12" spans="1:9" x14ac:dyDescent="0.2">
      <c r="A12" s="107" t="s">
        <v>1280</v>
      </c>
      <c r="B12" s="107" t="s">
        <v>1192</v>
      </c>
      <c r="C12" s="107" t="str">
        <f t="shared" si="1"/>
        <v>Yes</v>
      </c>
      <c r="D12" s="107" t="str">
        <f t="shared" si="2"/>
        <v>Yes</v>
      </c>
      <c r="E12" s="107" t="str">
        <f t="shared" si="3"/>
        <v>Yes</v>
      </c>
      <c r="F12" s="107"/>
      <c r="G12" s="107" t="s">
        <v>1268</v>
      </c>
      <c r="H12" s="107" t="s">
        <v>1268</v>
      </c>
      <c r="I12" s="107" t="s">
        <v>1268</v>
      </c>
    </row>
    <row r="13" spans="1:9" x14ac:dyDescent="0.2">
      <c r="A13" s="107" t="s">
        <v>1281</v>
      </c>
      <c r="B13" s="107" t="s">
        <v>1193</v>
      </c>
      <c r="C13" s="107" t="str">
        <f t="shared" si="1"/>
        <v>Yes</v>
      </c>
      <c r="D13" s="107" t="str">
        <f t="shared" si="2"/>
        <v>Yes</v>
      </c>
      <c r="E13" s="107" t="str">
        <f t="shared" si="3"/>
        <v>Yes</v>
      </c>
      <c r="F13" s="107"/>
      <c r="G13" s="107" t="s">
        <v>1268</v>
      </c>
      <c r="H13" s="107" t="s">
        <v>1268</v>
      </c>
      <c r="I13" s="107" t="s">
        <v>1268</v>
      </c>
    </row>
    <row r="14" spans="1:9" x14ac:dyDescent="0.2">
      <c r="A14" s="107" t="s">
        <v>1282</v>
      </c>
      <c r="B14" s="107" t="s">
        <v>1194</v>
      </c>
      <c r="C14" s="107" t="str">
        <f t="shared" si="1"/>
        <v>Yes</v>
      </c>
      <c r="D14" s="107" t="str">
        <f t="shared" si="2"/>
        <v>No</v>
      </c>
      <c r="E14" s="107" t="str">
        <f t="shared" si="3"/>
        <v>No</v>
      </c>
      <c r="F14" s="107"/>
      <c r="G14" s="107" t="s">
        <v>1268</v>
      </c>
      <c r="H14" s="107" t="s">
        <v>1170</v>
      </c>
      <c r="I14" s="107" t="s">
        <v>1170</v>
      </c>
    </row>
    <row r="15" spans="1:9" x14ac:dyDescent="0.2">
      <c r="A15" s="107" t="s">
        <v>1283</v>
      </c>
      <c r="B15" s="107" t="s">
        <v>1197</v>
      </c>
      <c r="C15" s="107" t="str">
        <f t="shared" si="1"/>
        <v>Yes</v>
      </c>
      <c r="D15" s="107" t="str">
        <f t="shared" si="2"/>
        <v>Yes</v>
      </c>
      <c r="E15" s="107" t="str">
        <f t="shared" si="3"/>
        <v>Yes</v>
      </c>
      <c r="F15" s="107"/>
      <c r="G15" s="107" t="s">
        <v>1268</v>
      </c>
      <c r="H15" s="107" t="s">
        <v>1268</v>
      </c>
      <c r="I15" s="107" t="s">
        <v>1268</v>
      </c>
    </row>
    <row r="16" spans="1:9" x14ac:dyDescent="0.2">
      <c r="A16" s="107" t="s">
        <v>1284</v>
      </c>
      <c r="B16" s="107" t="s">
        <v>1195</v>
      </c>
      <c r="C16" s="107" t="str">
        <f t="shared" si="1"/>
        <v>Yes</v>
      </c>
      <c r="D16" s="107" t="str">
        <f t="shared" si="2"/>
        <v>Yes</v>
      </c>
      <c r="E16" s="107" t="str">
        <f t="shared" si="3"/>
        <v>Yes</v>
      </c>
      <c r="F16" s="107"/>
      <c r="G16" s="107" t="s">
        <v>1268</v>
      </c>
      <c r="H16" s="107" t="s">
        <v>1268</v>
      </c>
      <c r="I16" s="107" t="s">
        <v>1268</v>
      </c>
    </row>
    <row r="17" spans="1:9" x14ac:dyDescent="0.2">
      <c r="A17" s="107" t="s">
        <v>1285</v>
      </c>
      <c r="B17" s="107" t="s">
        <v>1196</v>
      </c>
      <c r="C17" s="107" t="str">
        <f t="shared" si="1"/>
        <v>Yes</v>
      </c>
      <c r="D17" s="107" t="str">
        <f t="shared" si="2"/>
        <v>Yes</v>
      </c>
      <c r="E17" s="107" t="str">
        <f t="shared" si="3"/>
        <v>Yes</v>
      </c>
      <c r="F17" s="107"/>
      <c r="G17" s="107" t="s">
        <v>1268</v>
      </c>
      <c r="H17" s="107" t="s">
        <v>1268</v>
      </c>
      <c r="I17" s="107" t="s">
        <v>1268</v>
      </c>
    </row>
    <row r="18" spans="1:9" x14ac:dyDescent="0.2">
      <c r="A18" s="107" t="s">
        <v>1286</v>
      </c>
      <c r="B18" s="107" t="s">
        <v>1198</v>
      </c>
      <c r="C18" s="107" t="str">
        <f t="shared" si="1"/>
        <v>Yes</v>
      </c>
      <c r="D18" s="107" t="str">
        <f t="shared" si="2"/>
        <v>Yes</v>
      </c>
      <c r="E18" s="107" t="str">
        <f t="shared" si="3"/>
        <v>Yes</v>
      </c>
      <c r="F18" s="107"/>
      <c r="G18" s="107" t="s">
        <v>1268</v>
      </c>
      <c r="H18" s="107" t="s">
        <v>1268</v>
      </c>
      <c r="I18" s="107" t="s">
        <v>1268</v>
      </c>
    </row>
    <row r="19" spans="1:9" x14ac:dyDescent="0.2">
      <c r="A19" s="107" t="s">
        <v>1287</v>
      </c>
      <c r="B19" s="107" t="s">
        <v>1200</v>
      </c>
      <c r="C19" s="107" t="str">
        <f t="shared" si="1"/>
        <v>Yes</v>
      </c>
      <c r="D19" s="107" t="str">
        <f t="shared" si="2"/>
        <v>No</v>
      </c>
      <c r="E19" s="107" t="str">
        <f t="shared" si="3"/>
        <v>No</v>
      </c>
      <c r="F19" s="107"/>
      <c r="G19" s="107" t="s">
        <v>1268</v>
      </c>
      <c r="H19" s="107" t="s">
        <v>1170</v>
      </c>
      <c r="I19" s="107" t="s">
        <v>1170</v>
      </c>
    </row>
    <row r="20" spans="1:9" x14ac:dyDescent="0.2">
      <c r="A20" s="107" t="s">
        <v>1288</v>
      </c>
      <c r="B20" s="107" t="s">
        <v>1199</v>
      </c>
      <c r="C20" s="107" t="str">
        <f t="shared" si="1"/>
        <v>Yes</v>
      </c>
      <c r="D20" s="107" t="str">
        <f t="shared" si="2"/>
        <v>Yes</v>
      </c>
      <c r="E20" s="107" t="str">
        <f t="shared" si="3"/>
        <v>Yes</v>
      </c>
      <c r="F20" s="107"/>
      <c r="G20" s="107" t="s">
        <v>1268</v>
      </c>
      <c r="H20" s="107" t="s">
        <v>1268</v>
      </c>
      <c r="I20" s="107" t="s">
        <v>1268</v>
      </c>
    </row>
    <row r="21" spans="1:9" x14ac:dyDescent="0.2">
      <c r="A21" s="107" t="s">
        <v>1289</v>
      </c>
      <c r="B21" s="107" t="s">
        <v>1290</v>
      </c>
      <c r="C21" s="107" t="str">
        <f t="shared" si="1"/>
        <v>Yes</v>
      </c>
      <c r="D21" s="107" t="str">
        <f t="shared" si="2"/>
        <v>No</v>
      </c>
      <c r="E21" s="107" t="str">
        <f t="shared" si="3"/>
        <v>No</v>
      </c>
      <c r="F21" s="107"/>
      <c r="G21" s="107" t="s">
        <v>1268</v>
      </c>
      <c r="H21" s="107" t="s">
        <v>1170</v>
      </c>
      <c r="I21" s="107" t="s">
        <v>1170</v>
      </c>
    </row>
    <row r="22" spans="1:9" x14ac:dyDescent="0.2">
      <c r="A22" s="107" t="s">
        <v>1291</v>
      </c>
      <c r="B22" s="107" t="s">
        <v>1292</v>
      </c>
      <c r="C22" s="107" t="str">
        <f t="shared" si="1"/>
        <v>Yes</v>
      </c>
      <c r="D22" s="107" t="str">
        <f t="shared" si="2"/>
        <v>No</v>
      </c>
      <c r="E22" s="107" t="str">
        <f t="shared" si="3"/>
        <v>No</v>
      </c>
      <c r="F22" s="107"/>
      <c r="G22" s="107" t="s">
        <v>1268</v>
      </c>
      <c r="H22" s="107" t="s">
        <v>1170</v>
      </c>
      <c r="I22" s="107" t="s">
        <v>1170</v>
      </c>
    </row>
    <row r="23" spans="1:9" x14ac:dyDescent="0.2">
      <c r="A23" s="107" t="s">
        <v>1293</v>
      </c>
      <c r="B23" s="107" t="s">
        <v>1201</v>
      </c>
      <c r="C23" s="107" t="str">
        <f t="shared" si="1"/>
        <v>Yes</v>
      </c>
      <c r="D23" s="107" t="str">
        <f t="shared" si="2"/>
        <v>No</v>
      </c>
      <c r="E23" s="107" t="str">
        <f t="shared" si="3"/>
        <v>Yes</v>
      </c>
      <c r="F23" s="107"/>
      <c r="G23" s="107" t="s">
        <v>1268</v>
      </c>
      <c r="H23" s="107" t="s">
        <v>1170</v>
      </c>
      <c r="I23" s="107" t="s">
        <v>1268</v>
      </c>
    </row>
    <row r="24" spans="1:9" x14ac:dyDescent="0.2">
      <c r="A24" s="107" t="s">
        <v>1294</v>
      </c>
      <c r="B24" s="107" t="s">
        <v>1202</v>
      </c>
      <c r="C24" s="107" t="str">
        <f t="shared" si="1"/>
        <v>Yes</v>
      </c>
      <c r="D24" s="107" t="str">
        <f t="shared" si="2"/>
        <v>No</v>
      </c>
      <c r="E24" s="107" t="str">
        <f t="shared" si="3"/>
        <v>No</v>
      </c>
      <c r="F24" s="430"/>
      <c r="G24" s="107" t="s">
        <v>1268</v>
      </c>
      <c r="H24" s="107" t="s">
        <v>1170</v>
      </c>
      <c r="I24" s="107" t="s">
        <v>1170</v>
      </c>
    </row>
    <row r="25" spans="1:9" x14ac:dyDescent="0.2">
      <c r="A25" s="107" t="s">
        <v>1295</v>
      </c>
      <c r="B25" s="107" t="s">
        <v>1296</v>
      </c>
      <c r="C25" s="107" t="str">
        <f t="shared" si="1"/>
        <v>Yes</v>
      </c>
      <c r="D25" s="107" t="str">
        <f t="shared" si="2"/>
        <v>No</v>
      </c>
      <c r="E25" s="107" t="str">
        <f t="shared" si="3"/>
        <v>No</v>
      </c>
      <c r="F25" s="107"/>
      <c r="G25" s="107" t="s">
        <v>1268</v>
      </c>
      <c r="H25" s="107" t="s">
        <v>1170</v>
      </c>
      <c r="I25" s="107" t="s">
        <v>1170</v>
      </c>
    </row>
    <row r="26" spans="1:9" x14ac:dyDescent="0.2">
      <c r="A26" s="107" t="s">
        <v>1297</v>
      </c>
      <c r="B26" s="107" t="s">
        <v>1298</v>
      </c>
      <c r="C26" s="107" t="str">
        <f t="shared" si="1"/>
        <v>Yes</v>
      </c>
      <c r="D26" s="107" t="str">
        <f t="shared" si="2"/>
        <v>Yes</v>
      </c>
      <c r="E26" s="107" t="str">
        <f t="shared" si="3"/>
        <v>Yes</v>
      </c>
      <c r="F26" s="107"/>
      <c r="G26" s="107" t="s">
        <v>1268</v>
      </c>
      <c r="H26" s="107" t="s">
        <v>1268</v>
      </c>
      <c r="I26" s="107" t="s">
        <v>1268</v>
      </c>
    </row>
    <row r="27" spans="1:9" x14ac:dyDescent="0.2">
      <c r="A27" s="107" t="s">
        <v>1299</v>
      </c>
      <c r="B27" s="107" t="s">
        <v>1203</v>
      </c>
      <c r="C27" s="107" t="str">
        <f t="shared" si="1"/>
        <v>No</v>
      </c>
      <c r="D27" s="107" t="str">
        <f t="shared" si="2"/>
        <v>No</v>
      </c>
      <c r="E27" s="107" t="str">
        <f t="shared" si="3"/>
        <v>No</v>
      </c>
      <c r="F27" s="107"/>
      <c r="G27" s="107" t="s">
        <v>1170</v>
      </c>
      <c r="H27" s="107" t="s">
        <v>1170</v>
      </c>
      <c r="I27" s="107" t="s">
        <v>1170</v>
      </c>
    </row>
    <row r="28" spans="1:9" x14ac:dyDescent="0.2">
      <c r="A28" s="107" t="s">
        <v>1300</v>
      </c>
      <c r="B28" s="107" t="s">
        <v>1207</v>
      </c>
      <c r="C28" s="107" t="str">
        <f t="shared" si="1"/>
        <v>Yes</v>
      </c>
      <c r="D28" s="107" t="str">
        <f t="shared" si="2"/>
        <v>Yes</v>
      </c>
      <c r="E28" s="107" t="str">
        <f t="shared" si="3"/>
        <v>Yes</v>
      </c>
      <c r="F28" s="107"/>
      <c r="G28" s="107" t="s">
        <v>1268</v>
      </c>
      <c r="H28" s="107" t="s">
        <v>1268</v>
      </c>
      <c r="I28" s="107" t="s">
        <v>1268</v>
      </c>
    </row>
    <row r="29" spans="1:9" x14ac:dyDescent="0.2">
      <c r="A29" s="107" t="s">
        <v>1301</v>
      </c>
      <c r="B29" s="107" t="s">
        <v>1204</v>
      </c>
      <c r="C29" s="107" t="str">
        <f t="shared" si="1"/>
        <v>Yes</v>
      </c>
      <c r="D29" s="107" t="str">
        <f t="shared" si="2"/>
        <v>Yes</v>
      </c>
      <c r="E29" s="107" t="str">
        <f t="shared" si="3"/>
        <v>Yes</v>
      </c>
      <c r="F29" s="107"/>
      <c r="G29" s="107" t="s">
        <v>1268</v>
      </c>
      <c r="H29" s="107" t="s">
        <v>1268</v>
      </c>
      <c r="I29" s="107" t="s">
        <v>1268</v>
      </c>
    </row>
    <row r="30" spans="1:9" x14ac:dyDescent="0.2">
      <c r="A30" s="107" t="s">
        <v>1302</v>
      </c>
      <c r="B30" s="107" t="s">
        <v>1205</v>
      </c>
      <c r="C30" s="107" t="str">
        <f t="shared" si="1"/>
        <v>Yes</v>
      </c>
      <c r="D30" s="107" t="str">
        <f t="shared" si="2"/>
        <v>No</v>
      </c>
      <c r="E30" s="107" t="str">
        <f t="shared" si="3"/>
        <v>No</v>
      </c>
      <c r="F30" s="107"/>
      <c r="G30" s="107" t="s">
        <v>1268</v>
      </c>
      <c r="H30" s="107" t="s">
        <v>1170</v>
      </c>
      <c r="I30" s="107" t="s">
        <v>1170</v>
      </c>
    </row>
    <row r="31" spans="1:9" x14ac:dyDescent="0.2">
      <c r="A31" s="107" t="s">
        <v>1303</v>
      </c>
      <c r="B31" s="107" t="s">
        <v>1206</v>
      </c>
      <c r="C31" s="107" t="str">
        <f t="shared" si="1"/>
        <v>Yes</v>
      </c>
      <c r="D31" s="107" t="str">
        <f t="shared" si="2"/>
        <v>Yes</v>
      </c>
      <c r="E31" s="107" t="str">
        <f t="shared" si="3"/>
        <v>Yes</v>
      </c>
      <c r="F31" s="107"/>
      <c r="G31" s="107" t="s">
        <v>1268</v>
      </c>
      <c r="H31" s="107" t="s">
        <v>1268</v>
      </c>
      <c r="I31" s="107" t="s">
        <v>1268</v>
      </c>
    </row>
    <row r="32" spans="1:9" x14ac:dyDescent="0.2">
      <c r="A32" s="107" t="s">
        <v>1304</v>
      </c>
      <c r="B32" s="107" t="s">
        <v>1208</v>
      </c>
      <c r="C32" s="107" t="str">
        <f t="shared" si="1"/>
        <v>Yes</v>
      </c>
      <c r="D32" s="107" t="str">
        <f t="shared" si="2"/>
        <v>Yes</v>
      </c>
      <c r="E32" s="107" t="str">
        <f t="shared" si="3"/>
        <v>Yes</v>
      </c>
      <c r="F32" s="107"/>
      <c r="G32" s="107" t="s">
        <v>1268</v>
      </c>
      <c r="H32" s="107" t="s">
        <v>1268</v>
      </c>
      <c r="I32" s="107" t="s">
        <v>1268</v>
      </c>
    </row>
    <row r="33" spans="1:9" x14ac:dyDescent="0.2">
      <c r="A33" s="107" t="s">
        <v>1305</v>
      </c>
      <c r="B33" s="107" t="s">
        <v>1209</v>
      </c>
      <c r="C33" s="107" t="str">
        <f t="shared" si="1"/>
        <v>Yes</v>
      </c>
      <c r="D33" s="107" t="str">
        <f t="shared" si="2"/>
        <v>No</v>
      </c>
      <c r="E33" s="107" t="str">
        <f t="shared" si="3"/>
        <v>Yes</v>
      </c>
      <c r="F33" s="107"/>
      <c r="G33" s="107" t="s">
        <v>1268</v>
      </c>
      <c r="H33" s="107" t="s">
        <v>1170</v>
      </c>
      <c r="I33" s="107" t="s">
        <v>1268</v>
      </c>
    </row>
    <row r="34" spans="1:9" x14ac:dyDescent="0.2">
      <c r="A34" s="107" t="s">
        <v>1306</v>
      </c>
      <c r="B34" s="107" t="s">
        <v>1210</v>
      </c>
      <c r="C34" s="107" t="str">
        <f t="shared" si="1"/>
        <v>Yes</v>
      </c>
      <c r="D34" s="107" t="str">
        <f t="shared" si="2"/>
        <v>No</v>
      </c>
      <c r="E34" s="107" t="str">
        <f t="shared" si="3"/>
        <v>No</v>
      </c>
      <c r="F34" s="107"/>
      <c r="G34" s="107" t="s">
        <v>1268</v>
      </c>
      <c r="H34" s="107" t="s">
        <v>1170</v>
      </c>
      <c r="I34" s="107" t="s">
        <v>1170</v>
      </c>
    </row>
    <row r="35" spans="1:9" x14ac:dyDescent="0.2">
      <c r="A35" s="107" t="s">
        <v>1307</v>
      </c>
      <c r="B35" s="107" t="s">
        <v>1211</v>
      </c>
      <c r="C35" s="107" t="str">
        <f t="shared" ref="C35:C66" si="4">IF(G35="Ja",Ja,Nein)</f>
        <v>Yes</v>
      </c>
      <c r="D35" s="107" t="str">
        <f t="shared" ref="D35:D66" si="5">IF(H35="Ja",Ja,Nein)</f>
        <v>No</v>
      </c>
      <c r="E35" s="107" t="str">
        <f t="shared" ref="E35:E66" si="6">IF(I35="Ja",Ja,Nein)</f>
        <v>Yes</v>
      </c>
      <c r="F35" s="107"/>
      <c r="G35" s="107" t="s">
        <v>1268</v>
      </c>
      <c r="H35" s="107" t="s">
        <v>1170</v>
      </c>
      <c r="I35" s="107" t="s">
        <v>1268</v>
      </c>
    </row>
    <row r="36" spans="1:9" x14ac:dyDescent="0.2">
      <c r="A36" s="107" t="s">
        <v>1308</v>
      </c>
      <c r="B36" s="107" t="s">
        <v>1212</v>
      </c>
      <c r="C36" s="107" t="str">
        <f t="shared" si="4"/>
        <v>Yes</v>
      </c>
      <c r="D36" s="107" t="str">
        <f t="shared" si="5"/>
        <v>No</v>
      </c>
      <c r="E36" s="107" t="str">
        <f t="shared" si="6"/>
        <v>Yes</v>
      </c>
      <c r="F36" s="107"/>
      <c r="G36" s="107" t="s">
        <v>1268</v>
      </c>
      <c r="H36" s="107" t="s">
        <v>1170</v>
      </c>
      <c r="I36" s="107" t="s">
        <v>1268</v>
      </c>
    </row>
    <row r="37" spans="1:9" x14ac:dyDescent="0.2">
      <c r="A37" s="107" t="s">
        <v>1309</v>
      </c>
      <c r="B37" s="107" t="s">
        <v>1213</v>
      </c>
      <c r="C37" s="107" t="str">
        <f t="shared" si="4"/>
        <v>No</v>
      </c>
      <c r="D37" s="107" t="str">
        <f t="shared" si="5"/>
        <v>No</v>
      </c>
      <c r="E37" s="107" t="str">
        <f t="shared" si="6"/>
        <v>No</v>
      </c>
      <c r="F37" s="430"/>
      <c r="G37" s="107" t="s">
        <v>1170</v>
      </c>
      <c r="H37" s="106" t="s">
        <v>1170</v>
      </c>
      <c r="I37" s="107" t="s">
        <v>1170</v>
      </c>
    </row>
    <row r="38" spans="1:9" x14ac:dyDescent="0.2">
      <c r="A38" s="107" t="s">
        <v>1310</v>
      </c>
      <c r="B38" s="107" t="s">
        <v>1214</v>
      </c>
      <c r="C38" s="107" t="str">
        <f t="shared" si="4"/>
        <v>Yes</v>
      </c>
      <c r="D38" s="107" t="str">
        <f t="shared" si="5"/>
        <v>No</v>
      </c>
      <c r="E38" s="107" t="str">
        <f t="shared" si="6"/>
        <v>No</v>
      </c>
      <c r="F38" s="107"/>
      <c r="G38" s="107" t="s">
        <v>1268</v>
      </c>
      <c r="H38" s="107" t="s">
        <v>1170</v>
      </c>
      <c r="I38" s="107" t="s">
        <v>1170</v>
      </c>
    </row>
    <row r="39" spans="1:9" x14ac:dyDescent="0.2">
      <c r="A39" s="107" t="s">
        <v>1311</v>
      </c>
      <c r="B39" s="107" t="s">
        <v>1215</v>
      </c>
      <c r="C39" s="107" t="str">
        <f t="shared" si="4"/>
        <v>Yes</v>
      </c>
      <c r="D39" s="107" t="str">
        <f t="shared" si="5"/>
        <v>Yes</v>
      </c>
      <c r="E39" s="107" t="str">
        <f t="shared" si="6"/>
        <v>Yes</v>
      </c>
      <c r="F39" s="107"/>
      <c r="G39" s="107" t="s">
        <v>1268</v>
      </c>
      <c r="H39" s="107" t="s">
        <v>1268</v>
      </c>
      <c r="I39" s="107" t="s">
        <v>1268</v>
      </c>
    </row>
    <row r="40" spans="1:9" x14ac:dyDescent="0.2">
      <c r="A40" s="107" t="s">
        <v>1312</v>
      </c>
      <c r="B40" s="107" t="s">
        <v>1216</v>
      </c>
      <c r="C40" s="107" t="str">
        <f t="shared" si="4"/>
        <v>Yes</v>
      </c>
      <c r="D40" s="107" t="str">
        <f t="shared" si="5"/>
        <v>No</v>
      </c>
      <c r="E40" s="107" t="str">
        <f t="shared" si="6"/>
        <v>No</v>
      </c>
      <c r="F40" s="107"/>
      <c r="G40" s="107" t="s">
        <v>1268</v>
      </c>
      <c r="H40" s="107" t="s">
        <v>1170</v>
      </c>
      <c r="I40" s="107" t="s">
        <v>1170</v>
      </c>
    </row>
    <row r="41" spans="1:9" x14ac:dyDescent="0.2">
      <c r="A41" s="107" t="s">
        <v>1313</v>
      </c>
      <c r="B41" s="107" t="s">
        <v>1217</v>
      </c>
      <c r="C41" s="107" t="str">
        <f t="shared" si="4"/>
        <v>Yes</v>
      </c>
      <c r="D41" s="107" t="str">
        <f t="shared" si="5"/>
        <v>No</v>
      </c>
      <c r="E41" s="107" t="str">
        <f t="shared" si="6"/>
        <v>Yes</v>
      </c>
      <c r="F41" s="107"/>
      <c r="G41" s="107" t="s">
        <v>1268</v>
      </c>
      <c r="H41" s="107" t="s">
        <v>1170</v>
      </c>
      <c r="I41" s="107" t="s">
        <v>1268</v>
      </c>
    </row>
    <row r="42" spans="1:9" x14ac:dyDescent="0.2">
      <c r="A42" s="107" t="s">
        <v>1314</v>
      </c>
      <c r="B42" s="107" t="s">
        <v>1219</v>
      </c>
      <c r="C42" s="107" t="str">
        <f t="shared" si="4"/>
        <v>Yes</v>
      </c>
      <c r="D42" s="107" t="str">
        <f t="shared" si="5"/>
        <v>Yes</v>
      </c>
      <c r="E42" s="107" t="str">
        <f t="shared" si="6"/>
        <v>Yes</v>
      </c>
      <c r="F42" s="107"/>
      <c r="G42" s="107" t="s">
        <v>1268</v>
      </c>
      <c r="H42" s="107" t="s">
        <v>1268</v>
      </c>
      <c r="I42" s="107" t="s">
        <v>1268</v>
      </c>
    </row>
    <row r="43" spans="1:9" x14ac:dyDescent="0.2">
      <c r="A43" s="107" t="s">
        <v>1315</v>
      </c>
      <c r="B43" s="107" t="s">
        <v>1218</v>
      </c>
      <c r="C43" s="107" t="str">
        <f t="shared" si="4"/>
        <v>Yes</v>
      </c>
      <c r="D43" s="107" t="str">
        <f t="shared" si="5"/>
        <v>No</v>
      </c>
      <c r="E43" s="107" t="str">
        <f t="shared" si="6"/>
        <v>Yes</v>
      </c>
      <c r="F43" s="107"/>
      <c r="G43" s="107" t="s">
        <v>1268</v>
      </c>
      <c r="H43" s="107" t="s">
        <v>1170</v>
      </c>
      <c r="I43" s="107" t="s">
        <v>1268</v>
      </c>
    </row>
    <row r="44" spans="1:9" x14ac:dyDescent="0.2">
      <c r="A44" s="107" t="s">
        <v>1316</v>
      </c>
      <c r="B44" s="107" t="s">
        <v>1220</v>
      </c>
      <c r="C44" s="107" t="str">
        <f t="shared" si="4"/>
        <v>Yes</v>
      </c>
      <c r="D44" s="107" t="str">
        <f t="shared" si="5"/>
        <v>Yes</v>
      </c>
      <c r="E44" s="107" t="str">
        <f t="shared" si="6"/>
        <v>Yes</v>
      </c>
      <c r="F44" s="107"/>
      <c r="G44" s="107" t="s">
        <v>1268</v>
      </c>
      <c r="H44" s="107" t="s">
        <v>1268</v>
      </c>
      <c r="I44" s="107" t="s">
        <v>1268</v>
      </c>
    </row>
    <row r="45" spans="1:9" x14ac:dyDescent="0.2">
      <c r="A45" s="107" t="s">
        <v>1317</v>
      </c>
      <c r="B45" s="107" t="s">
        <v>1222</v>
      </c>
      <c r="C45" s="107" t="str">
        <f t="shared" si="4"/>
        <v>Yes</v>
      </c>
      <c r="D45" s="107" t="str">
        <f t="shared" si="5"/>
        <v>No</v>
      </c>
      <c r="E45" s="107" t="str">
        <f t="shared" si="6"/>
        <v>No</v>
      </c>
      <c r="F45" s="107"/>
      <c r="G45" s="107" t="s">
        <v>1268</v>
      </c>
      <c r="H45" s="107" t="s">
        <v>1170</v>
      </c>
      <c r="I45" s="107" t="s">
        <v>1170</v>
      </c>
    </row>
    <row r="46" spans="1:9" x14ac:dyDescent="0.2">
      <c r="A46" s="107" t="s">
        <v>1318</v>
      </c>
      <c r="B46" s="107" t="s">
        <v>1221</v>
      </c>
      <c r="C46" s="107" t="str">
        <f t="shared" si="4"/>
        <v>Yes</v>
      </c>
      <c r="D46" s="107" t="str">
        <f t="shared" si="5"/>
        <v>No</v>
      </c>
      <c r="E46" s="107" t="str">
        <f t="shared" si="6"/>
        <v>No</v>
      </c>
      <c r="F46" s="430"/>
      <c r="G46" s="107" t="s">
        <v>1268</v>
      </c>
      <c r="H46" s="107" t="s">
        <v>1170</v>
      </c>
      <c r="I46" s="107" t="s">
        <v>1170</v>
      </c>
    </row>
    <row r="47" spans="1:9" x14ac:dyDescent="0.2">
      <c r="A47" s="107" t="s">
        <v>1319</v>
      </c>
      <c r="B47" s="107" t="s">
        <v>1225</v>
      </c>
      <c r="C47" s="107" t="str">
        <f t="shared" si="4"/>
        <v>Yes</v>
      </c>
      <c r="D47" s="107" t="str">
        <f t="shared" si="5"/>
        <v>Yes</v>
      </c>
      <c r="E47" s="107" t="str">
        <f t="shared" si="6"/>
        <v>Yes</v>
      </c>
      <c r="F47" s="107"/>
      <c r="G47" s="107" t="s">
        <v>1268</v>
      </c>
      <c r="H47" s="107" t="s">
        <v>1268</v>
      </c>
      <c r="I47" s="107" t="s">
        <v>1268</v>
      </c>
    </row>
    <row r="48" spans="1:9" x14ac:dyDescent="0.2">
      <c r="A48" s="107" t="s">
        <v>1320</v>
      </c>
      <c r="B48" s="107" t="s">
        <v>1226</v>
      </c>
      <c r="C48" s="107" t="str">
        <f t="shared" si="4"/>
        <v>Yes</v>
      </c>
      <c r="D48" s="107" t="str">
        <f t="shared" si="5"/>
        <v>No</v>
      </c>
      <c r="E48" s="107" t="str">
        <f t="shared" si="6"/>
        <v>Yes</v>
      </c>
      <c r="F48" s="107"/>
      <c r="G48" s="107" t="s">
        <v>1268</v>
      </c>
      <c r="H48" s="107" t="s">
        <v>1170</v>
      </c>
      <c r="I48" s="107" t="s">
        <v>1268</v>
      </c>
    </row>
    <row r="49" spans="1:9" x14ac:dyDescent="0.2">
      <c r="A49" s="107" t="s">
        <v>1321</v>
      </c>
      <c r="B49" s="107" t="s">
        <v>1224</v>
      </c>
      <c r="C49" s="107" t="str">
        <f t="shared" si="4"/>
        <v>Yes</v>
      </c>
      <c r="D49" s="107" t="str">
        <f t="shared" si="5"/>
        <v>No</v>
      </c>
      <c r="E49" s="107" t="str">
        <f t="shared" si="6"/>
        <v>Yes</v>
      </c>
      <c r="F49" s="107"/>
      <c r="G49" s="107" t="s">
        <v>1268</v>
      </c>
      <c r="H49" s="107" t="s">
        <v>1170</v>
      </c>
      <c r="I49" s="107" t="s">
        <v>1268</v>
      </c>
    </row>
    <row r="50" spans="1:9" x14ac:dyDescent="0.2">
      <c r="A50" s="107" t="s">
        <v>1322</v>
      </c>
      <c r="B50" s="107" t="s">
        <v>1227</v>
      </c>
      <c r="C50" s="107" t="str">
        <f t="shared" si="4"/>
        <v>Yes</v>
      </c>
      <c r="D50" s="107" t="str">
        <f t="shared" si="5"/>
        <v>No</v>
      </c>
      <c r="E50" s="107" t="str">
        <f t="shared" si="6"/>
        <v>No</v>
      </c>
      <c r="F50" s="107"/>
      <c r="G50" s="107" t="s">
        <v>1268</v>
      </c>
      <c r="H50" s="107" t="s">
        <v>1170</v>
      </c>
      <c r="I50" s="107" t="s">
        <v>1170</v>
      </c>
    </row>
    <row r="51" spans="1:9" x14ac:dyDescent="0.2">
      <c r="A51" s="107" t="s">
        <v>1323</v>
      </c>
      <c r="B51" s="107" t="s">
        <v>1223</v>
      </c>
      <c r="C51" s="107" t="str">
        <f t="shared" si="4"/>
        <v>Yes</v>
      </c>
      <c r="D51" s="107" t="str">
        <f t="shared" si="5"/>
        <v>No</v>
      </c>
      <c r="E51" s="107" t="str">
        <f t="shared" si="6"/>
        <v>No</v>
      </c>
      <c r="F51" s="107"/>
      <c r="G51" s="107" t="s">
        <v>1268</v>
      </c>
      <c r="H51" s="107" t="s">
        <v>1170</v>
      </c>
      <c r="I51" s="107" t="s">
        <v>1170</v>
      </c>
    </row>
    <row r="52" spans="1:9" x14ac:dyDescent="0.2">
      <c r="A52" s="107" t="s">
        <v>1324</v>
      </c>
      <c r="B52" s="107" t="s">
        <v>1228</v>
      </c>
      <c r="C52" s="107" t="str">
        <f t="shared" si="4"/>
        <v>Yes</v>
      </c>
      <c r="D52" s="107" t="str">
        <f t="shared" si="5"/>
        <v>No</v>
      </c>
      <c r="E52" s="107" t="str">
        <f t="shared" si="6"/>
        <v>Yes</v>
      </c>
      <c r="F52" s="107"/>
      <c r="G52" s="107" t="s">
        <v>1268</v>
      </c>
      <c r="H52" s="107" t="s">
        <v>1170</v>
      </c>
      <c r="I52" s="107" t="s">
        <v>1268</v>
      </c>
    </row>
    <row r="53" spans="1:9" x14ac:dyDescent="0.2">
      <c r="A53" s="107" t="s">
        <v>1325</v>
      </c>
      <c r="B53" s="107" t="s">
        <v>1229</v>
      </c>
      <c r="C53" s="107" t="str">
        <f t="shared" si="4"/>
        <v>Yes</v>
      </c>
      <c r="D53" s="107" t="str">
        <f t="shared" si="5"/>
        <v>Yes</v>
      </c>
      <c r="E53" s="107" t="str">
        <f t="shared" si="6"/>
        <v>Yes</v>
      </c>
      <c r="F53" s="107"/>
      <c r="G53" s="107" t="s">
        <v>1268</v>
      </c>
      <c r="H53" s="107" t="s">
        <v>1268</v>
      </c>
      <c r="I53" s="107" t="s">
        <v>1268</v>
      </c>
    </row>
    <row r="54" spans="1:9" x14ac:dyDescent="0.2">
      <c r="A54" s="107" t="s">
        <v>1326</v>
      </c>
      <c r="B54" s="107" t="s">
        <v>1230</v>
      </c>
      <c r="C54" s="107" t="str">
        <f t="shared" si="4"/>
        <v>Yes</v>
      </c>
      <c r="D54" s="107" t="str">
        <f t="shared" si="5"/>
        <v>No</v>
      </c>
      <c r="E54" s="107" t="str">
        <f t="shared" si="6"/>
        <v>Yes</v>
      </c>
      <c r="F54" s="107"/>
      <c r="G54" s="107" t="s">
        <v>1268</v>
      </c>
      <c r="H54" s="107" t="s">
        <v>1170</v>
      </c>
      <c r="I54" s="107" t="s">
        <v>1268</v>
      </c>
    </row>
    <row r="55" spans="1:9" x14ac:dyDescent="0.2">
      <c r="A55" s="107" t="s">
        <v>1327</v>
      </c>
      <c r="B55" s="107" t="s">
        <v>1328</v>
      </c>
      <c r="C55" s="107" t="str">
        <f t="shared" si="4"/>
        <v>Yes</v>
      </c>
      <c r="D55" s="107" t="str">
        <f t="shared" si="5"/>
        <v>No</v>
      </c>
      <c r="E55" s="107" t="str">
        <f t="shared" si="6"/>
        <v>Yes</v>
      </c>
      <c r="F55" s="107"/>
      <c r="G55" s="107" t="s">
        <v>1268</v>
      </c>
      <c r="H55" s="107" t="s">
        <v>1170</v>
      </c>
      <c r="I55" s="107" t="s">
        <v>1268</v>
      </c>
    </row>
    <row r="56" spans="1:9" x14ac:dyDescent="0.2">
      <c r="A56" s="107" t="s">
        <v>1329</v>
      </c>
      <c r="B56" s="107" t="s">
        <v>1231</v>
      </c>
      <c r="C56" s="107" t="str">
        <f t="shared" si="4"/>
        <v>Yes</v>
      </c>
      <c r="D56" s="107" t="str">
        <f t="shared" si="5"/>
        <v>No</v>
      </c>
      <c r="E56" s="107" t="str">
        <f t="shared" si="6"/>
        <v>Yes</v>
      </c>
      <c r="F56" s="107"/>
      <c r="G56" s="107" t="s">
        <v>1268</v>
      </c>
      <c r="H56" s="107" t="s">
        <v>1170</v>
      </c>
      <c r="I56" s="107" t="s">
        <v>1268</v>
      </c>
    </row>
    <row r="57" spans="1:9" x14ac:dyDescent="0.2">
      <c r="A57" s="107" t="s">
        <v>1330</v>
      </c>
      <c r="B57" s="107" t="s">
        <v>1232</v>
      </c>
      <c r="C57" s="107" t="str">
        <f t="shared" si="4"/>
        <v>Yes</v>
      </c>
      <c r="D57" s="107" t="str">
        <f t="shared" si="5"/>
        <v>Yes</v>
      </c>
      <c r="E57" s="107" t="str">
        <f t="shared" si="6"/>
        <v>Yes</v>
      </c>
      <c r="F57" s="107"/>
      <c r="G57" s="107" t="s">
        <v>1268</v>
      </c>
      <c r="H57" s="107" t="s">
        <v>1268</v>
      </c>
      <c r="I57" s="107" t="s">
        <v>1268</v>
      </c>
    </row>
    <row r="58" spans="1:9" x14ac:dyDescent="0.2">
      <c r="A58" s="107" t="s">
        <v>1331</v>
      </c>
      <c r="B58" s="107" t="s">
        <v>1233</v>
      </c>
      <c r="C58" s="107" t="str">
        <f t="shared" si="4"/>
        <v>Yes</v>
      </c>
      <c r="D58" s="107" t="str">
        <f t="shared" si="5"/>
        <v>Yes</v>
      </c>
      <c r="E58" s="107" t="str">
        <f t="shared" si="6"/>
        <v>No</v>
      </c>
      <c r="F58" s="107"/>
      <c r="G58" s="107" t="s">
        <v>1268</v>
      </c>
      <c r="H58" s="107" t="s">
        <v>1268</v>
      </c>
      <c r="I58" s="107" t="s">
        <v>1170</v>
      </c>
    </row>
    <row r="59" spans="1:9" x14ac:dyDescent="0.2">
      <c r="A59" s="107" t="s">
        <v>1332</v>
      </c>
      <c r="B59" s="107" t="s">
        <v>1234</v>
      </c>
      <c r="C59" s="107" t="str">
        <f t="shared" si="4"/>
        <v>Yes</v>
      </c>
      <c r="D59" s="107" t="str">
        <f t="shared" si="5"/>
        <v>Yes</v>
      </c>
      <c r="E59" s="107" t="str">
        <f t="shared" si="6"/>
        <v>Yes</v>
      </c>
      <c r="F59" s="107"/>
      <c r="G59" s="107" t="s">
        <v>1268</v>
      </c>
      <c r="H59" s="107" t="s">
        <v>1268</v>
      </c>
      <c r="I59" s="107" t="s">
        <v>1268</v>
      </c>
    </row>
    <row r="60" spans="1:9" x14ac:dyDescent="0.2">
      <c r="A60" s="107" t="s">
        <v>1333</v>
      </c>
      <c r="B60" s="107" t="s">
        <v>1235</v>
      </c>
      <c r="C60" s="107" t="str">
        <f t="shared" si="4"/>
        <v>Yes</v>
      </c>
      <c r="D60" s="107" t="str">
        <f t="shared" si="5"/>
        <v>Yes</v>
      </c>
      <c r="E60" s="107" t="str">
        <f t="shared" si="6"/>
        <v>Yes</v>
      </c>
      <c r="F60" s="107"/>
      <c r="G60" s="107" t="s">
        <v>1268</v>
      </c>
      <c r="H60" s="107" t="s">
        <v>1268</v>
      </c>
      <c r="I60" s="107" t="s">
        <v>1268</v>
      </c>
    </row>
    <row r="61" spans="1:9" x14ac:dyDescent="0.2">
      <c r="A61" s="107" t="s">
        <v>1334</v>
      </c>
      <c r="B61" s="107" t="s">
        <v>1236</v>
      </c>
      <c r="C61" s="107" t="str">
        <f t="shared" si="4"/>
        <v>Yes</v>
      </c>
      <c r="D61" s="107" t="str">
        <f t="shared" si="5"/>
        <v>Yes</v>
      </c>
      <c r="E61" s="107" t="str">
        <f t="shared" si="6"/>
        <v>Yes</v>
      </c>
      <c r="F61" s="107"/>
      <c r="G61" s="107" t="s">
        <v>1268</v>
      </c>
      <c r="H61" s="107" t="s">
        <v>1268</v>
      </c>
      <c r="I61" s="107" t="s">
        <v>1268</v>
      </c>
    </row>
    <row r="62" spans="1:9" x14ac:dyDescent="0.2">
      <c r="A62" s="107" t="s">
        <v>1335</v>
      </c>
      <c r="B62" s="107" t="s">
        <v>1237</v>
      </c>
      <c r="C62" s="107" t="str">
        <f t="shared" si="4"/>
        <v>Yes</v>
      </c>
      <c r="D62" s="107" t="str">
        <f t="shared" si="5"/>
        <v>No</v>
      </c>
      <c r="E62" s="107" t="str">
        <f t="shared" si="6"/>
        <v>No</v>
      </c>
      <c r="F62" s="107"/>
      <c r="G62" s="107" t="s">
        <v>1268</v>
      </c>
      <c r="H62" s="107" t="s">
        <v>1170</v>
      </c>
      <c r="I62" s="107" t="s">
        <v>1170</v>
      </c>
    </row>
    <row r="63" spans="1:9" x14ac:dyDescent="0.2">
      <c r="A63" s="107" t="s">
        <v>1336</v>
      </c>
      <c r="B63" s="107" t="s">
        <v>1337</v>
      </c>
      <c r="C63" s="107" t="str">
        <f t="shared" si="4"/>
        <v>Yes</v>
      </c>
      <c r="D63" s="107" t="str">
        <f t="shared" si="5"/>
        <v>Yes</v>
      </c>
      <c r="E63" s="107" t="str">
        <f t="shared" si="6"/>
        <v>Yes</v>
      </c>
      <c r="F63" s="107"/>
      <c r="G63" s="107" t="s">
        <v>1268</v>
      </c>
      <c r="H63" s="107" t="s">
        <v>1268</v>
      </c>
      <c r="I63" s="107" t="s">
        <v>1268</v>
      </c>
    </row>
    <row r="64" spans="1:9" x14ac:dyDescent="0.2">
      <c r="A64" s="107" t="s">
        <v>1338</v>
      </c>
      <c r="B64" s="107" t="s">
        <v>1239</v>
      </c>
      <c r="C64" s="107" t="str">
        <f t="shared" si="4"/>
        <v>Yes</v>
      </c>
      <c r="D64" s="107" t="str">
        <f t="shared" si="5"/>
        <v>No</v>
      </c>
      <c r="E64" s="107" t="str">
        <f t="shared" si="6"/>
        <v>No</v>
      </c>
      <c r="F64" s="107"/>
      <c r="G64" s="107" t="s">
        <v>1268</v>
      </c>
      <c r="H64" s="107" t="s">
        <v>1170</v>
      </c>
      <c r="I64" s="107" t="s">
        <v>1170</v>
      </c>
    </row>
    <row r="65" spans="1:9" x14ac:dyDescent="0.2">
      <c r="A65" s="107" t="s">
        <v>1339</v>
      </c>
      <c r="B65" s="107" t="s">
        <v>1238</v>
      </c>
      <c r="C65" s="107" t="str">
        <f t="shared" si="4"/>
        <v>Yes</v>
      </c>
      <c r="D65" s="107" t="str">
        <f t="shared" si="5"/>
        <v>No</v>
      </c>
      <c r="E65" s="107" t="str">
        <f t="shared" si="6"/>
        <v>No</v>
      </c>
      <c r="F65" s="107"/>
      <c r="G65" s="107" t="s">
        <v>1268</v>
      </c>
      <c r="H65" s="107" t="s">
        <v>1170</v>
      </c>
      <c r="I65" s="107" t="s">
        <v>1170</v>
      </c>
    </row>
    <row r="66" spans="1:9" x14ac:dyDescent="0.2">
      <c r="A66" s="107" t="s">
        <v>1340</v>
      </c>
      <c r="B66" s="107" t="s">
        <v>1240</v>
      </c>
      <c r="C66" s="107" t="str">
        <f t="shared" si="4"/>
        <v>Yes</v>
      </c>
      <c r="D66" s="107" t="str">
        <f t="shared" si="5"/>
        <v>Yes</v>
      </c>
      <c r="E66" s="107" t="str">
        <f t="shared" si="6"/>
        <v>Yes</v>
      </c>
      <c r="F66" s="107"/>
      <c r="G66" s="107" t="s">
        <v>1268</v>
      </c>
      <c r="H66" s="107" t="s">
        <v>1268</v>
      </c>
      <c r="I66" s="107" t="s">
        <v>1268</v>
      </c>
    </row>
    <row r="67" spans="1:9" x14ac:dyDescent="0.2">
      <c r="A67" s="107" t="s">
        <v>1341</v>
      </c>
      <c r="B67" s="107" t="s">
        <v>1241</v>
      </c>
      <c r="C67" s="107" t="str">
        <f t="shared" ref="C67:C86" si="7">IF(G67="Ja",Ja,Nein)</f>
        <v>Yes</v>
      </c>
      <c r="D67" s="107" t="str">
        <f t="shared" ref="D67:D86" si="8">IF(H67="Ja",Ja,Nein)</f>
        <v>No</v>
      </c>
      <c r="E67" s="107" t="str">
        <f t="shared" ref="E67:E86" si="9">IF(I67="Ja",Ja,Nein)</f>
        <v>No</v>
      </c>
      <c r="F67" s="107"/>
      <c r="G67" s="107" t="s">
        <v>1268</v>
      </c>
      <c r="H67" s="107" t="s">
        <v>1170</v>
      </c>
      <c r="I67" s="107" t="s">
        <v>1170</v>
      </c>
    </row>
    <row r="68" spans="1:9" x14ac:dyDescent="0.2">
      <c r="A68" s="107" t="s">
        <v>1342</v>
      </c>
      <c r="B68" s="107" t="s">
        <v>1243</v>
      </c>
      <c r="C68" s="107" t="str">
        <f t="shared" si="7"/>
        <v>Yes</v>
      </c>
      <c r="D68" s="107" t="str">
        <f t="shared" si="8"/>
        <v>Yes</v>
      </c>
      <c r="E68" s="107" t="str">
        <f t="shared" si="9"/>
        <v>Yes</v>
      </c>
      <c r="F68" s="107"/>
      <c r="G68" s="107" t="s">
        <v>1268</v>
      </c>
      <c r="H68" s="107" t="s">
        <v>1268</v>
      </c>
      <c r="I68" s="107" t="s">
        <v>1268</v>
      </c>
    </row>
    <row r="69" spans="1:9" x14ac:dyDescent="0.2">
      <c r="A69" s="107" t="s">
        <v>1343</v>
      </c>
      <c r="B69" s="107" t="s">
        <v>1344</v>
      </c>
      <c r="C69" s="107" t="str">
        <f t="shared" si="7"/>
        <v>Yes</v>
      </c>
      <c r="D69" s="107" t="str">
        <f t="shared" si="8"/>
        <v>No</v>
      </c>
      <c r="E69" s="107" t="str">
        <f t="shared" si="9"/>
        <v>Yes</v>
      </c>
      <c r="F69" s="107"/>
      <c r="G69" s="107" t="s">
        <v>1268</v>
      </c>
      <c r="H69" s="107" t="s">
        <v>1170</v>
      </c>
      <c r="I69" s="107" t="s">
        <v>1268</v>
      </c>
    </row>
    <row r="70" spans="1:9" x14ac:dyDescent="0.2">
      <c r="A70" s="107" t="s">
        <v>1345</v>
      </c>
      <c r="B70" s="107" t="s">
        <v>1242</v>
      </c>
      <c r="C70" s="107" t="str">
        <f t="shared" si="7"/>
        <v>Yes</v>
      </c>
      <c r="D70" s="107" t="str">
        <f t="shared" si="8"/>
        <v>No</v>
      </c>
      <c r="E70" s="107" t="str">
        <f t="shared" si="9"/>
        <v>Yes</v>
      </c>
      <c r="F70" s="107"/>
      <c r="G70" s="107" t="s">
        <v>1268</v>
      </c>
      <c r="H70" s="107" t="s">
        <v>1170</v>
      </c>
      <c r="I70" s="107" t="s">
        <v>1268</v>
      </c>
    </row>
    <row r="71" spans="1:9" x14ac:dyDescent="0.2">
      <c r="A71" s="107" t="s">
        <v>1346</v>
      </c>
      <c r="B71" s="107" t="s">
        <v>1244</v>
      </c>
      <c r="C71" s="107" t="str">
        <f t="shared" si="7"/>
        <v>Yes</v>
      </c>
      <c r="D71" s="107" t="str">
        <f t="shared" si="8"/>
        <v>No</v>
      </c>
      <c r="E71" s="107" t="str">
        <f t="shared" si="9"/>
        <v>Yes</v>
      </c>
      <c r="F71" s="107"/>
      <c r="G71" s="107" t="s">
        <v>1268</v>
      </c>
      <c r="H71" s="107" t="s">
        <v>1170</v>
      </c>
      <c r="I71" s="107" t="s">
        <v>1268</v>
      </c>
    </row>
    <row r="72" spans="1:9" x14ac:dyDescent="0.2">
      <c r="A72" s="107" t="s">
        <v>1347</v>
      </c>
      <c r="B72" s="107" t="s">
        <v>1245</v>
      </c>
      <c r="C72" s="107" t="str">
        <f t="shared" si="7"/>
        <v>Yes</v>
      </c>
      <c r="D72" s="107" t="str">
        <f t="shared" si="8"/>
        <v>No</v>
      </c>
      <c r="E72" s="107" t="str">
        <f t="shared" si="9"/>
        <v>No</v>
      </c>
      <c r="F72" s="107"/>
      <c r="G72" s="107" t="s">
        <v>1268</v>
      </c>
      <c r="H72" s="107" t="s">
        <v>1170</v>
      </c>
      <c r="I72" s="107" t="s">
        <v>1170</v>
      </c>
    </row>
    <row r="73" spans="1:9" x14ac:dyDescent="0.2">
      <c r="A73" s="107" t="s">
        <v>1348</v>
      </c>
      <c r="B73" s="107" t="s">
        <v>1246</v>
      </c>
      <c r="C73" s="107" t="str">
        <f t="shared" si="7"/>
        <v>Yes</v>
      </c>
      <c r="D73" s="107" t="str">
        <f t="shared" si="8"/>
        <v>No</v>
      </c>
      <c r="E73" s="107" t="str">
        <f t="shared" si="9"/>
        <v>Yes</v>
      </c>
      <c r="F73" s="107"/>
      <c r="G73" s="107" t="s">
        <v>1268</v>
      </c>
      <c r="H73" s="107" t="s">
        <v>1170</v>
      </c>
      <c r="I73" s="107" t="s">
        <v>1268</v>
      </c>
    </row>
    <row r="74" spans="1:9" x14ac:dyDescent="0.2">
      <c r="A74" s="107" t="s">
        <v>1349</v>
      </c>
      <c r="B74" s="107" t="s">
        <v>1247</v>
      </c>
      <c r="C74" s="107" t="str">
        <f t="shared" si="7"/>
        <v>Yes</v>
      </c>
      <c r="D74" s="107" t="str">
        <f t="shared" si="8"/>
        <v>No</v>
      </c>
      <c r="E74" s="107" t="str">
        <f t="shared" si="9"/>
        <v>Yes</v>
      </c>
      <c r="F74" s="107"/>
      <c r="G74" s="107" t="s">
        <v>1268</v>
      </c>
      <c r="H74" s="107" t="s">
        <v>1170</v>
      </c>
      <c r="I74" s="107" t="s">
        <v>1268</v>
      </c>
    </row>
    <row r="75" spans="1:9" x14ac:dyDescent="0.2">
      <c r="A75" s="107" t="s">
        <v>1350</v>
      </c>
      <c r="B75" s="107" t="s">
        <v>1248</v>
      </c>
      <c r="C75" s="107" t="str">
        <f t="shared" si="7"/>
        <v>Yes</v>
      </c>
      <c r="D75" s="107" t="str">
        <f t="shared" si="8"/>
        <v>No</v>
      </c>
      <c r="E75" s="107" t="str">
        <f t="shared" si="9"/>
        <v>Yes</v>
      </c>
      <c r="F75" s="107"/>
      <c r="G75" s="107" t="s">
        <v>1268</v>
      </c>
      <c r="H75" s="107" t="s">
        <v>1170</v>
      </c>
      <c r="I75" s="107" t="s">
        <v>1268</v>
      </c>
    </row>
    <row r="76" spans="1:9" x14ac:dyDescent="0.2">
      <c r="A76" s="107" t="s">
        <v>1351</v>
      </c>
      <c r="B76" s="107" t="s">
        <v>1249</v>
      </c>
      <c r="C76" s="107" t="str">
        <f t="shared" si="7"/>
        <v>Yes</v>
      </c>
      <c r="D76" s="107" t="str">
        <f t="shared" si="8"/>
        <v>No</v>
      </c>
      <c r="E76" s="107" t="str">
        <f t="shared" si="9"/>
        <v>Yes</v>
      </c>
      <c r="F76" s="107"/>
      <c r="G76" s="107" t="s">
        <v>1268</v>
      </c>
      <c r="H76" s="107" t="s">
        <v>1170</v>
      </c>
      <c r="I76" s="107" t="s">
        <v>1268</v>
      </c>
    </row>
    <row r="77" spans="1:9" x14ac:dyDescent="0.2">
      <c r="A77" s="107" t="s">
        <v>1352</v>
      </c>
      <c r="B77" s="107" t="s">
        <v>1253</v>
      </c>
      <c r="C77" s="107" t="str">
        <f t="shared" si="7"/>
        <v>Yes</v>
      </c>
      <c r="D77" s="107" t="str">
        <f t="shared" si="8"/>
        <v>No</v>
      </c>
      <c r="E77" s="107" t="str">
        <f t="shared" si="9"/>
        <v>Yes</v>
      </c>
      <c r="F77" s="107"/>
      <c r="G77" s="107" t="s">
        <v>1268</v>
      </c>
      <c r="H77" s="107" t="s">
        <v>1170</v>
      </c>
      <c r="I77" s="107" t="s">
        <v>1268</v>
      </c>
    </row>
    <row r="78" spans="1:9" x14ac:dyDescent="0.2">
      <c r="A78" s="107" t="s">
        <v>1353</v>
      </c>
      <c r="B78" s="107" t="s">
        <v>1250</v>
      </c>
      <c r="C78" s="107" t="str">
        <f t="shared" si="7"/>
        <v>Yes</v>
      </c>
      <c r="D78" s="107" t="str">
        <f t="shared" si="8"/>
        <v>Yes</v>
      </c>
      <c r="E78" s="107" t="str">
        <f t="shared" si="9"/>
        <v>Yes</v>
      </c>
      <c r="F78" s="107"/>
      <c r="G78" s="107" t="s">
        <v>1268</v>
      </c>
      <c r="H78" s="107" t="s">
        <v>1268</v>
      </c>
      <c r="I78" s="107" t="s">
        <v>1268</v>
      </c>
    </row>
    <row r="79" spans="1:9" x14ac:dyDescent="0.2">
      <c r="A79" s="107" t="s">
        <v>1354</v>
      </c>
      <c r="B79" s="107" t="s">
        <v>1251</v>
      </c>
      <c r="C79" s="107" t="str">
        <f t="shared" si="7"/>
        <v>Yes</v>
      </c>
      <c r="D79" s="107" t="str">
        <f t="shared" si="8"/>
        <v>Yes</v>
      </c>
      <c r="E79" s="107" t="str">
        <f t="shared" si="9"/>
        <v>Yes</v>
      </c>
      <c r="F79" s="107"/>
      <c r="G79" s="107" t="s">
        <v>1268</v>
      </c>
      <c r="H79" s="107" t="s">
        <v>1268</v>
      </c>
      <c r="I79" s="107" t="s">
        <v>1268</v>
      </c>
    </row>
    <row r="80" spans="1:9" x14ac:dyDescent="0.2">
      <c r="A80" s="107" t="s">
        <v>1355</v>
      </c>
      <c r="B80" s="107" t="s">
        <v>1254</v>
      </c>
      <c r="C80" s="107" t="str">
        <f t="shared" si="7"/>
        <v>Yes</v>
      </c>
      <c r="D80" s="107" t="str">
        <f t="shared" si="8"/>
        <v>No</v>
      </c>
      <c r="E80" s="107" t="str">
        <f t="shared" si="9"/>
        <v>Yes</v>
      </c>
      <c r="F80" s="107"/>
      <c r="G80" s="107" t="s">
        <v>1268</v>
      </c>
      <c r="H80" s="107" t="s">
        <v>1170</v>
      </c>
      <c r="I80" s="107" t="s">
        <v>1268</v>
      </c>
    </row>
    <row r="81" spans="1:9" x14ac:dyDescent="0.2">
      <c r="A81" s="107" t="s">
        <v>1356</v>
      </c>
      <c r="B81" s="107" t="s">
        <v>1255</v>
      </c>
      <c r="C81" s="107" t="str">
        <f t="shared" si="7"/>
        <v>Yes</v>
      </c>
      <c r="D81" s="107" t="str">
        <f t="shared" si="8"/>
        <v>Yes</v>
      </c>
      <c r="E81" s="107" t="str">
        <f t="shared" si="9"/>
        <v>Yes</v>
      </c>
      <c r="F81" s="107"/>
      <c r="G81" s="107" t="s">
        <v>1268</v>
      </c>
      <c r="H81" s="107" t="s">
        <v>1268</v>
      </c>
      <c r="I81" s="107" t="s">
        <v>1268</v>
      </c>
    </row>
    <row r="82" spans="1:9" x14ac:dyDescent="0.2">
      <c r="A82" s="107" t="s">
        <v>1357</v>
      </c>
      <c r="B82" s="107" t="s">
        <v>1256</v>
      </c>
      <c r="C82" s="107" t="str">
        <f t="shared" si="7"/>
        <v>Yes</v>
      </c>
      <c r="D82" s="107" t="str">
        <f t="shared" si="8"/>
        <v>No</v>
      </c>
      <c r="E82" s="107" t="str">
        <f t="shared" si="9"/>
        <v>Yes</v>
      </c>
      <c r="F82" s="107"/>
      <c r="G82" s="107" t="s">
        <v>1268</v>
      </c>
      <c r="H82" s="107" t="s">
        <v>1170</v>
      </c>
      <c r="I82" s="107" t="s">
        <v>1268</v>
      </c>
    </row>
    <row r="83" spans="1:9" x14ac:dyDescent="0.2">
      <c r="A83" s="107" t="s">
        <v>1358</v>
      </c>
      <c r="B83" s="107" t="s">
        <v>1252</v>
      </c>
      <c r="C83" s="107" t="str">
        <f t="shared" si="7"/>
        <v>Yes</v>
      </c>
      <c r="D83" s="107" t="str">
        <f t="shared" si="8"/>
        <v>Yes</v>
      </c>
      <c r="E83" s="107" t="str">
        <f t="shared" si="9"/>
        <v>Yes</v>
      </c>
      <c r="F83" s="107"/>
      <c r="G83" s="107" t="s">
        <v>1268</v>
      </c>
      <c r="H83" s="107" t="s">
        <v>1268</v>
      </c>
      <c r="I83" s="107" t="s">
        <v>1268</v>
      </c>
    </row>
    <row r="84" spans="1:9" x14ac:dyDescent="0.2">
      <c r="A84" s="107" t="s">
        <v>1359</v>
      </c>
      <c r="B84" s="107" t="s">
        <v>1257</v>
      </c>
      <c r="C84" s="107" t="str">
        <f t="shared" si="7"/>
        <v>Yes</v>
      </c>
      <c r="D84" s="107" t="str">
        <f t="shared" si="8"/>
        <v>Yes</v>
      </c>
      <c r="E84" s="107" t="str">
        <f t="shared" si="9"/>
        <v>Yes</v>
      </c>
      <c r="F84" s="107"/>
      <c r="G84" s="107" t="s">
        <v>1268</v>
      </c>
      <c r="H84" s="107" t="s">
        <v>1268</v>
      </c>
      <c r="I84" s="107" t="s">
        <v>1268</v>
      </c>
    </row>
    <row r="85" spans="1:9" x14ac:dyDescent="0.2">
      <c r="A85" s="107" t="s">
        <v>1360</v>
      </c>
      <c r="B85" s="107" t="s">
        <v>1258</v>
      </c>
      <c r="C85" s="107" t="str">
        <f t="shared" si="7"/>
        <v>Yes</v>
      </c>
      <c r="D85" s="107" t="str">
        <f t="shared" si="8"/>
        <v>No</v>
      </c>
      <c r="E85" s="107" t="str">
        <f t="shared" si="9"/>
        <v>Yes</v>
      </c>
      <c r="F85" s="107"/>
      <c r="G85" s="107" t="s">
        <v>1268</v>
      </c>
      <c r="H85" s="107" t="s">
        <v>1170</v>
      </c>
      <c r="I85" s="107" t="s">
        <v>1268</v>
      </c>
    </row>
    <row r="86" spans="1:9" x14ac:dyDescent="0.2">
      <c r="A86" s="107" t="s">
        <v>1361</v>
      </c>
      <c r="B86" s="107" t="s">
        <v>1259</v>
      </c>
      <c r="C86" s="107" t="str">
        <f t="shared" si="7"/>
        <v>Yes</v>
      </c>
      <c r="D86" s="107" t="str">
        <f t="shared" si="8"/>
        <v>No</v>
      </c>
      <c r="E86" s="107" t="str">
        <f t="shared" si="9"/>
        <v>No</v>
      </c>
      <c r="F86" s="107"/>
      <c r="G86" s="107" t="s">
        <v>1268</v>
      </c>
      <c r="H86" s="107" t="s">
        <v>1170</v>
      </c>
      <c r="I86" s="107" t="s">
        <v>1170</v>
      </c>
    </row>
  </sheetData>
  <sheetProtection password="E9DA" sheet="1" objects="1" scenarios="1"/>
  <autoFilter ref="B2:I83"/>
  <mergeCells count="1">
    <mergeCell ref="A1:B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FC000"/>
    <pageSetUpPr fitToPage="1"/>
  </sheetPr>
  <dimension ref="A1:AX73"/>
  <sheetViews>
    <sheetView showGridLines="0" topLeftCell="A42" zoomScaleNormal="100" workbookViewId="0">
      <pane xSplit="2" topLeftCell="C1" activePane="topRight" state="frozenSplit"/>
      <selection pane="topRight" activeCell="E42" sqref="E42"/>
    </sheetView>
  </sheetViews>
  <sheetFormatPr defaultColWidth="11.42578125" defaultRowHeight="12.75" x14ac:dyDescent="0.2"/>
  <cols>
    <col min="1" max="1" width="4" style="51" customWidth="1"/>
    <col min="2" max="2" width="33.42578125" style="51" customWidth="1"/>
    <col min="3" max="3" width="24.28515625" style="51" customWidth="1"/>
    <col min="4" max="4" width="12" style="192" bestFit="1" customWidth="1"/>
    <col min="5" max="9" width="8.7109375" style="120" customWidth="1"/>
    <col min="10" max="10" width="8.7109375" style="51" customWidth="1"/>
    <col min="11" max="11" width="10.28515625" style="192" bestFit="1" customWidth="1"/>
    <col min="12" max="13" width="8.7109375" style="192" hidden="1" customWidth="1"/>
    <col min="14" max="14" width="8.7109375" style="192" customWidth="1"/>
    <col min="15" max="15" width="8.7109375" style="51" customWidth="1"/>
    <col min="16" max="16" width="9.28515625" style="192" customWidth="1"/>
    <col min="17" max="18" width="8.7109375" style="192" hidden="1" customWidth="1"/>
    <col min="19" max="19" width="8.7109375" style="192" customWidth="1"/>
    <col min="20" max="20" width="8.7109375" style="51" customWidth="1"/>
    <col min="21" max="21" width="8.7109375" style="192" customWidth="1"/>
    <col min="22" max="23" width="8.7109375" style="192" hidden="1" customWidth="1"/>
    <col min="24" max="24" width="8.42578125" style="51" customWidth="1"/>
    <col min="25" max="25" width="5.5703125" style="192" customWidth="1"/>
    <col min="26" max="29" width="4.42578125" style="192" customWidth="1"/>
    <col min="30" max="30" width="5.140625" style="192" customWidth="1"/>
    <col min="31" max="31" width="13.85546875" style="192" customWidth="1"/>
    <col min="32" max="33" width="11.140625" style="192" customWidth="1"/>
    <col min="34" max="34" width="8.85546875" style="51" bestFit="1" customWidth="1"/>
    <col min="35" max="37" width="8.85546875" style="51" customWidth="1"/>
    <col min="38" max="38" width="9.5703125" style="192" customWidth="1"/>
    <col min="39" max="40" width="50.7109375" style="192" customWidth="1"/>
    <col min="41" max="41" width="50.7109375" style="51" customWidth="1"/>
    <col min="42" max="43" width="5.42578125" style="51" hidden="1" customWidth="1"/>
    <col min="44" max="45" width="8" style="51" bestFit="1" customWidth="1"/>
    <col min="46" max="54" width="8" style="51" customWidth="1"/>
    <col min="55" max="16384" width="11.42578125" style="51"/>
  </cols>
  <sheetData>
    <row r="1" spans="1:50" ht="31.5" customHeight="1" x14ac:dyDescent="0.2">
      <c r="A1" s="684" t="str">
        <f>Stammdaten!A1</f>
        <v>Audit programme Aero</v>
      </c>
      <c r="B1" s="685"/>
      <c r="C1" s="685"/>
      <c r="D1" s="685"/>
      <c r="E1" s="685"/>
      <c r="F1" s="685"/>
      <c r="G1" s="685"/>
      <c r="H1" s="685"/>
      <c r="I1" s="685"/>
      <c r="J1" s="685"/>
      <c r="K1" s="685"/>
      <c r="L1" s="685"/>
      <c r="M1" s="685"/>
      <c r="N1" s="685"/>
      <c r="O1" s="685"/>
      <c r="P1" s="685"/>
      <c r="Q1" s="685"/>
      <c r="R1" s="685"/>
      <c r="S1" s="685"/>
      <c r="T1" s="685"/>
      <c r="U1" s="686"/>
      <c r="V1" s="350"/>
      <c r="W1" s="350"/>
      <c r="X1" s="188"/>
      <c r="Y1" s="277"/>
      <c r="Z1" s="277"/>
      <c r="AA1" s="277"/>
      <c r="AB1" s="277"/>
      <c r="AC1" s="277"/>
      <c r="AD1" s="268"/>
      <c r="AE1" s="268"/>
      <c r="AF1" s="268"/>
      <c r="AG1" s="315"/>
      <c r="AH1" s="163"/>
      <c r="AI1" s="163"/>
      <c r="AJ1" s="163"/>
      <c r="AN1" s="188"/>
      <c r="AO1" s="665"/>
      <c r="AP1" s="188"/>
      <c r="AQ1" s="188"/>
      <c r="AR1" s="188"/>
      <c r="AS1" s="188"/>
    </row>
    <row r="2" spans="1:50" ht="31.5" customHeight="1" x14ac:dyDescent="0.2">
      <c r="A2" s="681" t="str">
        <f>IF(Sprache=DE,"Standortliste","Sitelist")</f>
        <v>Sitelist</v>
      </c>
      <c r="B2" s="682"/>
      <c r="C2" s="682"/>
      <c r="D2" s="682"/>
      <c r="E2" s="682"/>
      <c r="F2" s="682"/>
      <c r="G2" s="682"/>
      <c r="H2" s="682"/>
      <c r="I2" s="682"/>
      <c r="J2" s="682"/>
      <c r="K2" s="682"/>
      <c r="L2" s="682"/>
      <c r="M2" s="682"/>
      <c r="N2" s="682"/>
      <c r="O2" s="682"/>
      <c r="P2" s="682"/>
      <c r="Q2" s="682"/>
      <c r="R2" s="682"/>
      <c r="S2" s="682"/>
      <c r="T2" s="682"/>
      <c r="U2" s="683"/>
      <c r="V2" s="351"/>
      <c r="W2" s="351"/>
      <c r="X2" s="188"/>
      <c r="Y2" s="281"/>
      <c r="Z2" s="277"/>
      <c r="AA2" s="277"/>
      <c r="AB2" s="277"/>
      <c r="AC2" s="277"/>
      <c r="AD2" s="268"/>
      <c r="AE2" s="268"/>
      <c r="AF2" s="268"/>
      <c r="AG2" s="315"/>
      <c r="AH2" s="163"/>
      <c r="AI2" s="163"/>
      <c r="AJ2" s="163"/>
      <c r="AN2" s="188"/>
      <c r="AO2" s="665"/>
      <c r="AP2" s="188"/>
      <c r="AQ2" s="188"/>
      <c r="AR2" s="188"/>
      <c r="AS2" s="188"/>
    </row>
    <row r="3" spans="1:50" s="2" customFormat="1" ht="7.5" customHeight="1" x14ac:dyDescent="0.2">
      <c r="A3" s="109"/>
      <c r="B3" s="325"/>
      <c r="C3" s="325"/>
      <c r="D3" s="375"/>
      <c r="E3" s="324"/>
      <c r="F3" s="374"/>
      <c r="G3" s="374"/>
      <c r="H3" s="374"/>
      <c r="I3" s="376"/>
      <c r="J3" s="324"/>
      <c r="K3" s="324"/>
      <c r="L3" s="324"/>
      <c r="M3" s="324"/>
      <c r="N3" s="324"/>
      <c r="O3" s="324"/>
      <c r="P3" s="324"/>
      <c r="Q3" s="324"/>
      <c r="R3" s="324"/>
      <c r="S3" s="324"/>
      <c r="T3" s="320"/>
      <c r="U3" s="320"/>
      <c r="V3" s="38"/>
      <c r="W3" s="38"/>
      <c r="X3" s="188"/>
      <c r="Y3" s="188"/>
      <c r="Z3" s="188"/>
      <c r="AA3" s="188"/>
      <c r="AB3" s="188"/>
      <c r="AC3" s="188"/>
      <c r="AD3" s="188"/>
      <c r="AE3" s="188"/>
      <c r="AF3" s="188"/>
      <c r="AG3" s="188"/>
      <c r="AL3" s="188"/>
      <c r="AM3" s="188"/>
      <c r="AN3" s="188"/>
      <c r="AO3" s="272"/>
      <c r="AP3" s="188"/>
      <c r="AQ3" s="188"/>
      <c r="AR3" s="188"/>
      <c r="AS3" s="188"/>
    </row>
    <row r="4" spans="1:50" ht="21.95" customHeight="1" x14ac:dyDescent="0.2">
      <c r="A4" s="678" t="str">
        <f>IF(Sprache=DE,"Vorgaben","Presets")</f>
        <v>Presets</v>
      </c>
      <c r="B4" s="679"/>
      <c r="C4" s="679"/>
      <c r="D4" s="679"/>
      <c r="E4" s="679"/>
      <c r="F4" s="679"/>
      <c r="G4" s="679"/>
      <c r="H4" s="679"/>
      <c r="I4" s="679"/>
      <c r="J4" s="679"/>
      <c r="K4" s="679"/>
      <c r="L4" s="679"/>
      <c r="M4" s="679"/>
      <c r="N4" s="679"/>
      <c r="O4" s="679"/>
      <c r="P4" s="679"/>
      <c r="Q4" s="679"/>
      <c r="R4" s="679"/>
      <c r="S4" s="679"/>
      <c r="T4" s="679"/>
      <c r="U4" s="680"/>
      <c r="V4" s="322"/>
      <c r="W4" s="322"/>
      <c r="X4" s="188"/>
      <c r="Y4" s="204"/>
      <c r="Z4" s="204"/>
      <c r="AA4" s="204"/>
      <c r="AB4" s="204"/>
      <c r="AC4" s="204"/>
      <c r="AD4" s="204"/>
      <c r="AE4" s="204"/>
      <c r="AF4" s="204"/>
      <c r="AG4" s="204"/>
      <c r="AH4" s="163"/>
      <c r="AI4" s="163"/>
      <c r="AJ4" s="163"/>
      <c r="AN4" s="188"/>
      <c r="AO4" s="272"/>
      <c r="AP4" s="188"/>
      <c r="AQ4" s="188"/>
      <c r="AR4" s="188"/>
      <c r="AS4" s="188"/>
    </row>
    <row r="5" spans="1:50" s="192" customFormat="1" ht="6" customHeight="1" thickBot="1" x14ac:dyDescent="0.25">
      <c r="A5" s="203"/>
      <c r="B5" s="204"/>
      <c r="C5" s="204"/>
      <c r="D5" s="204"/>
      <c r="E5" s="204"/>
      <c r="F5" s="204"/>
      <c r="G5" s="204"/>
      <c r="H5" s="204"/>
      <c r="I5" s="204"/>
      <c r="J5" s="204"/>
      <c r="K5" s="204"/>
      <c r="L5" s="204"/>
      <c r="M5" s="204"/>
      <c r="N5" s="204"/>
      <c r="O5" s="204"/>
      <c r="P5" s="204"/>
      <c r="Q5" s="204"/>
      <c r="R5" s="204"/>
      <c r="S5" s="204"/>
      <c r="T5" s="204"/>
      <c r="U5" s="204"/>
      <c r="V5" s="348"/>
      <c r="W5" s="348"/>
      <c r="X5" s="204"/>
      <c r="Y5" s="204"/>
      <c r="Z5" s="204"/>
      <c r="AA5" s="204"/>
      <c r="AB5" s="204"/>
      <c r="AC5" s="204"/>
      <c r="AD5" s="204"/>
      <c r="AE5" s="204"/>
      <c r="AF5" s="204"/>
      <c r="AG5" s="204"/>
      <c r="AH5" s="196"/>
      <c r="AI5" s="196"/>
      <c r="AJ5" s="196"/>
      <c r="AN5" s="188"/>
      <c r="AO5" s="272"/>
      <c r="AP5" s="188"/>
      <c r="AQ5" s="188"/>
      <c r="AR5" s="188"/>
      <c r="AS5" s="188"/>
    </row>
    <row r="6" spans="1:50" ht="21.95" customHeight="1" thickBot="1" x14ac:dyDescent="0.25">
      <c r="A6" s="110"/>
      <c r="B6" s="164"/>
      <c r="C6" s="737" t="str">
        <f>IF(Sprache=DE,"Auch ISO 9001-Zertifizierung gewünscht: ","Additional ISO 9001 certificate demanded: ")</f>
        <v xml:space="preserve">Additional ISO 9001 certificate demanded: </v>
      </c>
      <c r="D6" s="738"/>
      <c r="E6" s="116" t="str">
        <f>ISO9001Ja</f>
        <v>No</v>
      </c>
      <c r="F6" s="379"/>
      <c r="G6" s="379"/>
      <c r="H6" s="379"/>
      <c r="I6" s="379"/>
      <c r="J6" s="717" t="str">
        <f>IF(Sprache=DE,"Entwicklung zu berücksichtigen","Design to be considered")</f>
        <v>Design to be considered</v>
      </c>
      <c r="K6" s="717"/>
      <c r="L6" s="717"/>
      <c r="M6" s="717"/>
      <c r="N6" s="717"/>
      <c r="O6" s="717"/>
      <c r="P6" s="717"/>
      <c r="Q6" s="717"/>
      <c r="R6" s="717"/>
      <c r="S6" s="717"/>
      <c r="T6" s="171"/>
      <c r="U6" s="290" t="str">
        <f>IF(ISNUMBER(FIND("7.3",Ausschluss1&amp;Ausschluss2&amp;Ausschluss3&amp;AusschlussISO)),Nein,Ja)</f>
        <v>Yes</v>
      </c>
      <c r="V6" s="349"/>
      <c r="W6" s="349"/>
      <c r="X6" s="188"/>
      <c r="Y6" s="666" t="str">
        <f>IF(Sprache=DE,"Zulässige Reduzierung (Geltungsbereich/Komplexität) nur für 'Several Sites'","Permissible Reduction (scope/complexity) for 'Several Sites' only")</f>
        <v>Permissible Reduction (scope/complexity) for 'Several Sites' only</v>
      </c>
      <c r="Z6" s="667"/>
      <c r="AA6" s="667"/>
      <c r="AB6" s="667"/>
      <c r="AC6" s="667"/>
      <c r="AD6" s="667"/>
      <c r="AE6" s="667"/>
      <c r="AF6" s="667"/>
      <c r="AG6" s="667"/>
      <c r="AH6" s="667"/>
      <c r="AI6" s="667"/>
      <c r="AJ6" s="667"/>
      <c r="AK6" s="668"/>
      <c r="AN6" s="188"/>
      <c r="AO6" s="272"/>
      <c r="AP6" s="188"/>
      <c r="AQ6" s="188"/>
      <c r="AR6" s="188"/>
      <c r="AS6" s="188"/>
    </row>
    <row r="7" spans="1:50" s="2" customFormat="1" ht="6" customHeight="1" thickBot="1" x14ac:dyDescent="0.25">
      <c r="A7" s="99"/>
      <c r="B7" s="165"/>
      <c r="C7" s="165"/>
      <c r="D7" s="200"/>
      <c r="E7" s="167"/>
      <c r="F7" s="373"/>
      <c r="G7" s="373"/>
      <c r="H7" s="373"/>
      <c r="I7" s="377"/>
      <c r="J7" s="167"/>
      <c r="K7" s="311"/>
      <c r="L7" s="197"/>
      <c r="M7" s="197"/>
      <c r="N7" s="239"/>
      <c r="O7" s="167"/>
      <c r="P7" s="316"/>
      <c r="Q7" s="197"/>
      <c r="R7" s="197"/>
      <c r="S7" s="239"/>
      <c r="U7" s="188"/>
      <c r="V7" s="188"/>
      <c r="W7" s="188"/>
      <c r="X7" s="188"/>
      <c r="Y7" s="188"/>
      <c r="Z7" s="188"/>
      <c r="AA7" s="188"/>
      <c r="AB7" s="188"/>
      <c r="AC7" s="188"/>
      <c r="AD7" s="188"/>
      <c r="AE7" s="188"/>
      <c r="AF7" s="188"/>
      <c r="AG7" s="188"/>
      <c r="AL7" s="188"/>
      <c r="AM7" s="188"/>
      <c r="AN7" s="188"/>
      <c r="AO7" s="272"/>
      <c r="AP7" s="188"/>
      <c r="AQ7" s="188"/>
      <c r="AR7" s="188"/>
      <c r="AS7" s="188"/>
    </row>
    <row r="8" spans="1:50" ht="37.5" customHeight="1" x14ac:dyDescent="0.2">
      <c r="A8" s="669" t="str">
        <f>"Achtung: "&amp;IF(ISO9001Ja=Ja,IF(Sprache=DE,"Bitte ALLE Mitarbeiter eintragen, auch von den nur nach ISO 9001 zu zertifizierenden Standorten, die keine EN91xx-Zertifizierung bekommen","Please note All the employees, as well from these sites which will not be certified for EN91xx but only for ISO 9001"),IF(Sprache=DE,"Bitte nur die Daten (OIN, #MA) für 'EN91xx-Standorte' eintragen","Please just note the data (OIN, #MA) for 'EN91xx sites'"))</f>
        <v>Achtung: Please just note the data (OIN, #MA) for 'EN91xx sites'</v>
      </c>
      <c r="B8" s="670"/>
      <c r="C8" s="670"/>
      <c r="D8" s="670"/>
      <c r="E8" s="670"/>
      <c r="F8" s="670"/>
      <c r="G8" s="670"/>
      <c r="H8" s="670"/>
      <c r="I8" s="670"/>
      <c r="J8" s="670"/>
      <c r="K8" s="670"/>
      <c r="L8" s="670"/>
      <c r="M8" s="670"/>
      <c r="N8" s="670"/>
      <c r="O8" s="670"/>
      <c r="P8" s="670"/>
      <c r="Q8" s="670"/>
      <c r="R8" s="670"/>
      <c r="S8" s="670"/>
      <c r="T8" s="670"/>
      <c r="U8" s="671"/>
      <c r="V8" s="344"/>
      <c r="W8" s="345"/>
      <c r="X8" s="279"/>
      <c r="Y8" s="716" t="s">
        <v>38</v>
      </c>
      <c r="Z8" s="688"/>
      <c r="AA8" s="688" t="str">
        <f>IF(Sprache=DE,"Kategorie","Category")</f>
        <v>Category</v>
      </c>
      <c r="AB8" s="688"/>
      <c r="AC8" s="688"/>
      <c r="AD8" s="688"/>
      <c r="AE8" s="688"/>
      <c r="AF8" s="688"/>
      <c r="AG8" s="688"/>
      <c r="AH8" s="688"/>
      <c r="AI8" s="688"/>
      <c r="AJ8" s="688"/>
      <c r="AK8" s="309" t="s">
        <v>1166</v>
      </c>
      <c r="AL8" s="274"/>
      <c r="AM8" s="278"/>
      <c r="AN8" s="278"/>
      <c r="AO8" s="278"/>
      <c r="AP8" s="278"/>
      <c r="AQ8" s="278"/>
      <c r="AR8" s="278"/>
      <c r="AS8" s="278"/>
      <c r="AT8" s="278"/>
      <c r="AU8" s="274"/>
      <c r="AV8" s="282"/>
      <c r="AW8" s="282"/>
    </row>
    <row r="9" spans="1:50" s="2" customFormat="1" ht="6" customHeight="1" x14ac:dyDescent="0.2">
      <c r="A9" s="99"/>
      <c r="B9" s="165"/>
      <c r="C9" s="165"/>
      <c r="D9" s="200"/>
      <c r="E9" s="167"/>
      <c r="F9" s="373"/>
      <c r="G9" s="373"/>
      <c r="H9" s="373"/>
      <c r="I9" s="377"/>
      <c r="J9" s="166"/>
      <c r="K9" s="312"/>
      <c r="L9" s="198"/>
      <c r="M9" s="198"/>
      <c r="N9" s="240"/>
      <c r="O9" s="167"/>
      <c r="P9" s="316"/>
      <c r="Q9" s="197"/>
      <c r="R9" s="197"/>
      <c r="S9" s="239"/>
      <c r="U9" s="188"/>
      <c r="V9" s="38"/>
      <c r="W9" s="38"/>
      <c r="X9" s="188"/>
      <c r="Y9" s="718"/>
      <c r="Z9" s="689"/>
      <c r="AA9" s="689"/>
      <c r="AB9" s="689"/>
      <c r="AC9" s="689"/>
      <c r="AD9" s="689"/>
      <c r="AE9" s="689"/>
      <c r="AF9" s="689"/>
      <c r="AG9" s="689"/>
      <c r="AH9" s="689"/>
      <c r="AI9" s="689"/>
      <c r="AJ9" s="689"/>
      <c r="AK9" s="285"/>
      <c r="AL9" s="278"/>
      <c r="AM9" s="278"/>
      <c r="AN9" s="278"/>
      <c r="AO9" s="278"/>
      <c r="AP9" s="278"/>
      <c r="AQ9" s="278"/>
      <c r="AR9" s="278"/>
      <c r="AS9" s="278"/>
      <c r="AT9" s="278"/>
      <c r="AU9" s="274"/>
      <c r="AV9" s="282"/>
      <c r="AW9" s="282"/>
      <c r="AX9" s="188"/>
    </row>
    <row r="10" spans="1:50" ht="21.95" customHeight="1" x14ac:dyDescent="0.2">
      <c r="A10" s="672" t="str">
        <f>IF(Sprache=DE,"Bei einem 'Single Site' Unternehmen bitte nur die Daten der Zentrale eintragen oder Tabelle leer lassen","In the case of 'Single Site' just leave this sheet blank or use first row for central function only")</f>
        <v>In the case of 'Single Site' just leave this sheet blank or use first row for central function only</v>
      </c>
      <c r="B10" s="673"/>
      <c r="C10" s="673"/>
      <c r="D10" s="673"/>
      <c r="E10" s="673"/>
      <c r="F10" s="673"/>
      <c r="G10" s="673"/>
      <c r="H10" s="673"/>
      <c r="I10" s="673"/>
      <c r="J10" s="673"/>
      <c r="K10" s="673"/>
      <c r="L10" s="673"/>
      <c r="M10" s="673"/>
      <c r="N10" s="673"/>
      <c r="O10" s="673"/>
      <c r="P10" s="673"/>
      <c r="Q10" s="673"/>
      <c r="R10" s="673"/>
      <c r="S10" s="673"/>
      <c r="T10" s="673"/>
      <c r="U10" s="674"/>
      <c r="V10" s="346"/>
      <c r="W10" s="347"/>
      <c r="X10" s="279"/>
      <c r="Y10" s="718" t="s">
        <v>39</v>
      </c>
      <c r="Z10" s="689"/>
      <c r="AA10" s="687" t="str">
        <f>IF(Sprache=DE,"Keine Personalprozesse","No Human Resources Processes")</f>
        <v>No Human Resources Processes</v>
      </c>
      <c r="AB10" s="687"/>
      <c r="AC10" s="687"/>
      <c r="AD10" s="687"/>
      <c r="AE10" s="687"/>
      <c r="AF10" s="687"/>
      <c r="AG10" s="687"/>
      <c r="AH10" s="687"/>
      <c r="AI10" s="687"/>
      <c r="AJ10" s="687"/>
      <c r="AK10" s="286">
        <v>0.1</v>
      </c>
      <c r="AL10" s="283"/>
      <c r="AM10" s="102"/>
      <c r="AN10" s="102"/>
      <c r="AO10" s="102"/>
      <c r="AP10" s="102"/>
      <c r="AQ10" s="102"/>
      <c r="AR10" s="102"/>
      <c r="AS10" s="102"/>
      <c r="AT10" s="102"/>
      <c r="AU10" s="283"/>
      <c r="AV10" s="210"/>
      <c r="AW10" s="210"/>
    </row>
    <row r="11" spans="1:50" ht="21.95" customHeight="1" x14ac:dyDescent="0.2">
      <c r="A11" s="675"/>
      <c r="B11" s="676"/>
      <c r="C11" s="676"/>
      <c r="D11" s="676"/>
      <c r="E11" s="676"/>
      <c r="F11" s="676"/>
      <c r="G11" s="676"/>
      <c r="H11" s="676"/>
      <c r="I11" s="676"/>
      <c r="J11" s="676"/>
      <c r="K11" s="676"/>
      <c r="L11" s="676"/>
      <c r="M11" s="676"/>
      <c r="N11" s="676"/>
      <c r="O11" s="676"/>
      <c r="P11" s="676"/>
      <c r="Q11" s="676"/>
      <c r="R11" s="676"/>
      <c r="S11" s="676"/>
      <c r="T11" s="676"/>
      <c r="U11" s="677"/>
      <c r="V11" s="346"/>
      <c r="W11" s="347"/>
      <c r="X11" s="279"/>
      <c r="Y11" s="718" t="s">
        <v>40</v>
      </c>
      <c r="Z11" s="689"/>
      <c r="AA11" s="687" t="str">
        <f>IF(Sprache=DE, "Keine Produktion oder Dienstleistung","No Production or Service Realization")</f>
        <v>No Production or Service Realization</v>
      </c>
      <c r="AB11" s="687"/>
      <c r="AC11" s="687"/>
      <c r="AD11" s="687"/>
      <c r="AE11" s="687"/>
      <c r="AF11" s="687"/>
      <c r="AG11" s="687"/>
      <c r="AH11" s="687"/>
      <c r="AI11" s="687"/>
      <c r="AJ11" s="687"/>
      <c r="AK11" s="286">
        <v>0.2</v>
      </c>
      <c r="AL11" s="283"/>
      <c r="AM11" s="102"/>
      <c r="AN11" s="102"/>
      <c r="AO11" s="102"/>
      <c r="AP11" s="102"/>
      <c r="AQ11" s="102"/>
      <c r="AR11" s="102"/>
      <c r="AS11" s="102"/>
      <c r="AT11" s="102"/>
      <c r="AU11" s="283"/>
      <c r="AV11" s="210"/>
      <c r="AW11" s="210"/>
    </row>
    <row r="12" spans="1:50" s="300" customFormat="1" ht="21.95" hidden="1" customHeight="1" x14ac:dyDescent="0.2">
      <c r="A12" s="291"/>
      <c r="B12" s="292"/>
      <c r="C12" s="292" t="s">
        <v>44</v>
      </c>
      <c r="D12" s="292"/>
      <c r="E12" s="301">
        <f>ABS(J12-L12)+ABS(O12-Q12)+ABS(T12-U12)</f>
        <v>0</v>
      </c>
      <c r="F12" s="301"/>
      <c r="G12" s="301"/>
      <c r="H12" s="301"/>
      <c r="I12" s="301"/>
      <c r="J12" s="301">
        <f>SUM(L22:L72)</f>
        <v>0</v>
      </c>
      <c r="K12" s="301"/>
      <c r="L12" s="301">
        <f>SUM(J22:J72)</f>
        <v>0</v>
      </c>
      <c r="M12" s="301">
        <f t="shared" ref="M12" si="0">SUM(M22:M72)</f>
        <v>0</v>
      </c>
      <c r="N12" s="301">
        <f>MAX(N22:N72)</f>
        <v>1</v>
      </c>
      <c r="O12" s="301">
        <f>SUM(Q22:Q72)</f>
        <v>0</v>
      </c>
      <c r="P12" s="301"/>
      <c r="Q12" s="301">
        <f>SUM(O22:O72)</f>
        <v>0</v>
      </c>
      <c r="R12" s="301">
        <f t="shared" ref="R12" si="1">SUM(R22:R72)</f>
        <v>0</v>
      </c>
      <c r="S12" s="301">
        <f>MAX(S22:S72)</f>
        <v>1</v>
      </c>
      <c r="T12" s="301">
        <f>SUM(V22:V72)</f>
        <v>0</v>
      </c>
      <c r="U12" s="301">
        <f>SUM(T22:T72)</f>
        <v>0</v>
      </c>
      <c r="V12" s="342">
        <f t="shared" ref="V12" si="2">SUM(W22:W72)</f>
        <v>0</v>
      </c>
      <c r="W12" s="343">
        <f>MAX(X22:X72)</f>
        <v>1</v>
      </c>
      <c r="X12" s="301">
        <f>MAX(X22:X72)</f>
        <v>1</v>
      </c>
      <c r="Y12" s="293"/>
      <c r="Z12" s="294"/>
      <c r="AA12" s="295"/>
      <c r="AB12" s="295"/>
      <c r="AC12" s="295"/>
      <c r="AD12" s="295"/>
      <c r="AE12" s="295"/>
      <c r="AF12" s="295"/>
      <c r="AG12" s="295"/>
      <c r="AH12" s="295"/>
      <c r="AI12" s="295"/>
      <c r="AJ12" s="295"/>
      <c r="AK12" s="296"/>
      <c r="AL12" s="297"/>
      <c r="AM12" s="298"/>
      <c r="AN12" s="298"/>
      <c r="AO12" s="298"/>
      <c r="AP12" s="298"/>
      <c r="AQ12" s="298"/>
      <c r="AR12" s="298"/>
      <c r="AS12" s="298"/>
      <c r="AT12" s="298"/>
      <c r="AU12" s="297"/>
      <c r="AV12" s="299"/>
      <c r="AW12" s="299"/>
    </row>
    <row r="13" spans="1:50" s="2" customFormat="1" ht="24" customHeight="1" x14ac:dyDescent="0.2">
      <c r="A13" s="109"/>
      <c r="B13" s="169"/>
      <c r="C13" s="169"/>
      <c r="D13" s="375"/>
      <c r="E13" s="105"/>
      <c r="F13" s="105"/>
      <c r="G13" s="105"/>
      <c r="H13" s="105"/>
      <c r="I13" s="105"/>
      <c r="J13" s="169"/>
      <c r="K13" s="325"/>
      <c r="L13" s="325"/>
      <c r="M13" s="325"/>
      <c r="N13" s="723" t="str">
        <f>IF(Sprache=DE,"Sonderfunktionen der Standorte","Special functions of sites")</f>
        <v>Special functions of sites</v>
      </c>
      <c r="O13" s="723"/>
      <c r="P13" s="723"/>
      <c r="Q13" s="723"/>
      <c r="R13" s="723"/>
      <c r="S13" s="723"/>
      <c r="T13" s="723"/>
      <c r="U13" s="723"/>
      <c r="V13" s="323"/>
      <c r="W13" s="323"/>
      <c r="X13" s="188"/>
      <c r="Y13" s="718" t="s">
        <v>41</v>
      </c>
      <c r="Z13" s="689"/>
      <c r="AA13" s="687" t="str">
        <f>IF(Sprache=DE,"Kein Einkauf","No Purchasing")</f>
        <v>No Purchasing</v>
      </c>
      <c r="AB13" s="687"/>
      <c r="AC13" s="687"/>
      <c r="AD13" s="687"/>
      <c r="AE13" s="687"/>
      <c r="AF13" s="687"/>
      <c r="AG13" s="687"/>
      <c r="AH13" s="687"/>
      <c r="AI13" s="687"/>
      <c r="AJ13" s="687"/>
      <c r="AK13" s="287">
        <v>0.1</v>
      </c>
      <c r="AL13" s="284"/>
      <c r="AM13" s="102"/>
      <c r="AN13" s="102"/>
      <c r="AO13" s="102"/>
      <c r="AP13" s="102"/>
      <c r="AQ13" s="102"/>
      <c r="AR13" s="102"/>
      <c r="AS13" s="102"/>
      <c r="AT13" s="102"/>
      <c r="AU13" s="284"/>
      <c r="AV13" s="210"/>
      <c r="AW13" s="210"/>
    </row>
    <row r="14" spans="1:50" s="94" customFormat="1" ht="21.95" customHeight="1" x14ac:dyDescent="0.2">
      <c r="A14" s="195"/>
      <c r="B14" s="195"/>
      <c r="C14" s="739" t="str">
        <f>IF(Sprache=DE,"Zertifizierungsperiode","Certification cylce")</f>
        <v>Certification cylce</v>
      </c>
      <c r="D14" s="740"/>
      <c r="E14" s="368">
        <f>J_1</f>
        <v>2017</v>
      </c>
      <c r="F14" s="168">
        <f>J_2</f>
        <v>2018</v>
      </c>
      <c r="G14" s="368">
        <f>J_3</f>
        <v>2019</v>
      </c>
      <c r="H14" s="383"/>
      <c r="I14" s="383"/>
      <c r="J14" s="383"/>
      <c r="K14" s="256"/>
      <c r="L14" s="138"/>
      <c r="M14" s="138"/>
      <c r="N14" s="724" t="str">
        <f>IF(Sprache=DE,"Verweis auf Nr. der Standorte (Spalte A)","Ref. to # of site (column A)")</f>
        <v>Ref. to # of site (column A)</v>
      </c>
      <c r="O14" s="724"/>
      <c r="P14" s="724"/>
      <c r="Q14" s="724"/>
      <c r="R14" s="724"/>
      <c r="S14" s="724"/>
      <c r="T14" s="724"/>
      <c r="U14" s="276" t="s">
        <v>1167</v>
      </c>
      <c r="V14" s="339"/>
      <c r="W14" s="339"/>
      <c r="X14" s="340"/>
      <c r="Y14" s="718" t="s">
        <v>35</v>
      </c>
      <c r="Z14" s="689"/>
      <c r="AA14" s="687" t="str">
        <f>IF(Sprache=DE,"Keine kundenbezogenen Prozesse","No Customer Related Processes ")</f>
        <v xml:space="preserve">No Customer Related Processes </v>
      </c>
      <c r="AB14" s="687"/>
      <c r="AC14" s="687"/>
      <c r="AD14" s="687"/>
      <c r="AE14" s="687"/>
      <c r="AF14" s="687"/>
      <c r="AG14" s="687"/>
      <c r="AH14" s="687"/>
      <c r="AI14" s="687"/>
      <c r="AJ14" s="687"/>
      <c r="AK14" s="286">
        <v>0.1</v>
      </c>
      <c r="AL14" s="283"/>
      <c r="AM14" s="102"/>
      <c r="AN14" s="102"/>
      <c r="AO14" s="102"/>
      <c r="AP14" s="102"/>
      <c r="AQ14" s="102"/>
      <c r="AR14" s="102"/>
      <c r="AS14" s="102"/>
      <c r="AT14" s="102"/>
      <c r="AU14" s="283"/>
      <c r="AV14" s="210"/>
      <c r="AW14" s="210"/>
    </row>
    <row r="15" spans="1:50" s="93" customFormat="1" ht="21.95" customHeight="1" x14ac:dyDescent="0.2">
      <c r="A15" s="195"/>
      <c r="B15" s="195"/>
      <c r="C15" s="741" t="str">
        <f>IF(Sprache=DE,"Anzahl aktive Standorte","Number of active sites")</f>
        <v>Number of active sites</v>
      </c>
      <c r="D15" s="742"/>
      <c r="E15" s="108">
        <f>COUNTIF(M22:M72,"&gt;0")</f>
        <v>0</v>
      </c>
      <c r="F15" s="108">
        <f>COUNTIF(R22:R72,"&gt;0")</f>
        <v>0</v>
      </c>
      <c r="G15" s="108">
        <f>COUNTIF(W22:W72,"&gt;0")</f>
        <v>0</v>
      </c>
      <c r="H15" s="382"/>
      <c r="I15" s="382"/>
      <c r="J15" s="382"/>
      <c r="K15" s="256"/>
      <c r="L15" s="137"/>
      <c r="M15" s="137"/>
      <c r="N15" s="663" t="str">
        <f>IF(Sprache=DE,"Zentralfunktion/Zentrale","Central office/function")&amp; " - EN 9104-01:2013 3.8"</f>
        <v>Central office/function - EN 9104-01:2013 3.8</v>
      </c>
      <c r="O15" s="663"/>
      <c r="P15" s="663"/>
      <c r="Q15" s="663"/>
      <c r="R15" s="663"/>
      <c r="S15" s="663"/>
      <c r="T15" s="663"/>
      <c r="U15" s="302" t="str">
        <f>A22</f>
        <v>C</v>
      </c>
      <c r="V15" s="319"/>
      <c r="W15" s="319"/>
      <c r="X15" s="321"/>
      <c r="Y15" s="718" t="s">
        <v>36</v>
      </c>
      <c r="Z15" s="689"/>
      <c r="AA15" s="687" t="str">
        <f>IF(Sprache=DE,"Keine Lenkung von Dokumenten des Qualitäts-Managementsystems (für Zentralfunktion nicht anwendbar)","No Quality Management System Documentation Control (not applicable for the central function)")</f>
        <v>No Quality Management System Documentation Control (not applicable for the central function)</v>
      </c>
      <c r="AB15" s="687"/>
      <c r="AC15" s="687"/>
      <c r="AD15" s="687"/>
      <c r="AE15" s="687"/>
      <c r="AF15" s="687"/>
      <c r="AG15" s="687"/>
      <c r="AH15" s="687"/>
      <c r="AI15" s="687"/>
      <c r="AJ15" s="687"/>
      <c r="AK15" s="286">
        <v>0.1</v>
      </c>
      <c r="AL15" s="283"/>
      <c r="AM15" s="102"/>
      <c r="AN15" s="102"/>
      <c r="AO15" s="102"/>
      <c r="AP15" s="102"/>
      <c r="AQ15" s="102"/>
      <c r="AR15" s="102"/>
      <c r="AS15" s="102"/>
      <c r="AT15" s="102"/>
      <c r="AU15" s="283"/>
      <c r="AV15" s="210"/>
      <c r="AW15" s="210"/>
    </row>
    <row r="16" spans="1:50" s="137" customFormat="1" ht="21.95" customHeight="1" thickBot="1" x14ac:dyDescent="0.25">
      <c r="A16" s="199"/>
      <c r="B16" s="199"/>
      <c r="C16" s="741" t="str">
        <f>IF(Sprache=DE,"Gesamtzahl Mitarbeiter","Number of Employees overall")&amp;" (Aero)"</f>
        <v>Number of Employees overall (Aero)</v>
      </c>
      <c r="D16" s="742"/>
      <c r="E16" s="108">
        <f>SUM(L22:L72)</f>
        <v>0</v>
      </c>
      <c r="F16" s="108">
        <f>SUM(Q22:Q72)</f>
        <v>0</v>
      </c>
      <c r="G16" s="108">
        <f>SUM(V22:V72)</f>
        <v>0</v>
      </c>
      <c r="H16" s="382"/>
      <c r="I16" s="382"/>
      <c r="J16" s="382"/>
      <c r="K16" s="256"/>
      <c r="N16" s="664" t="str">
        <f>IF(Sprache=DE,"Hauptsitz/Hauptstelle","Headquarter/Main site")</f>
        <v>Headquarter/Main site</v>
      </c>
      <c r="O16" s="664"/>
      <c r="P16" s="664"/>
      <c r="Q16" s="664"/>
      <c r="R16" s="664"/>
      <c r="S16" s="664"/>
      <c r="T16" s="664"/>
      <c r="U16" s="289" t="str">
        <f>U15</f>
        <v>C</v>
      </c>
      <c r="V16" s="341"/>
      <c r="W16" s="341"/>
      <c r="X16" s="321"/>
      <c r="Y16" s="721"/>
      <c r="Z16" s="722"/>
      <c r="AA16" s="690" t="str">
        <f>IF(Sprache=DE,"* Maximal 30 % kumulative Reduzierung, mit Begründung.","* Up to a maximum 30 % cumulative reduction, with justification.")</f>
        <v>* Up to a maximum 30 % cumulative reduction, with justification.</v>
      </c>
      <c r="AB16" s="690"/>
      <c r="AC16" s="690"/>
      <c r="AD16" s="690"/>
      <c r="AE16" s="690"/>
      <c r="AF16" s="690"/>
      <c r="AG16" s="690"/>
      <c r="AH16" s="690"/>
      <c r="AI16" s="690"/>
      <c r="AJ16" s="690"/>
      <c r="AK16" s="288"/>
      <c r="AL16" s="102"/>
      <c r="AM16" s="102"/>
      <c r="AN16" s="102"/>
      <c r="AO16" s="102"/>
      <c r="AP16" s="102"/>
      <c r="AQ16" s="102"/>
      <c r="AR16" s="102"/>
      <c r="AS16" s="102"/>
      <c r="AT16" s="102"/>
      <c r="AU16" s="102"/>
      <c r="AV16" s="102"/>
      <c r="AW16" s="102"/>
    </row>
    <row r="17" spans="1:44" s="93" customFormat="1" ht="21.95" customHeight="1" x14ac:dyDescent="0.2">
      <c r="A17" s="195"/>
      <c r="B17" s="195"/>
      <c r="C17" s="741" t="str">
        <f>IF(Sprache=DE,"Gesamtzahl Mitarbeiter","Number of Employees overall")</f>
        <v>Number of Employees overall</v>
      </c>
      <c r="D17" s="742"/>
      <c r="E17" s="108">
        <f>SUM(M22:M72)</f>
        <v>0</v>
      </c>
      <c r="F17" s="108">
        <f>SUM(R22:R72)</f>
        <v>0</v>
      </c>
      <c r="G17" s="108">
        <f>SUM(W22:W72)</f>
        <v>0</v>
      </c>
      <c r="H17" s="382"/>
      <c r="I17" s="382"/>
      <c r="J17" s="382"/>
      <c r="K17" s="256"/>
      <c r="L17" s="137"/>
      <c r="M17" s="137"/>
      <c r="N17" s="664" t="str">
        <f>IF(Sprache = DE,"Bei 'Campus': Lenkungsfunktion","If 'Campus': Controlling address")</f>
        <v>If 'Campus': Controlling address</v>
      </c>
      <c r="O17" s="664"/>
      <c r="P17" s="664"/>
      <c r="Q17" s="664"/>
      <c r="R17" s="664"/>
      <c r="S17" s="664"/>
      <c r="T17" s="664"/>
      <c r="U17" s="289" t="str">
        <f>U15</f>
        <v>C</v>
      </c>
      <c r="V17" s="341"/>
      <c r="W17" s="321"/>
      <c r="X17" s="280"/>
      <c r="Y17" s="275"/>
      <c r="Z17" s="275"/>
      <c r="AA17" s="275"/>
      <c r="AB17" s="275"/>
      <c r="AC17" s="267"/>
      <c r="AD17" s="267"/>
      <c r="AE17" s="267"/>
      <c r="AF17" s="314"/>
      <c r="AG17" s="137"/>
      <c r="AH17" s="202"/>
      <c r="AI17" s="202"/>
      <c r="AJ17" s="115"/>
      <c r="AK17" s="137"/>
      <c r="AL17" s="137"/>
      <c r="AM17" s="267"/>
      <c r="AN17" s="272"/>
      <c r="AO17" s="267"/>
      <c r="AP17" s="267"/>
      <c r="AQ17" s="267"/>
      <c r="AR17" s="267"/>
    </row>
    <row r="18" spans="1:44" ht="6" customHeight="1" thickBot="1" x14ac:dyDescent="0.25">
      <c r="A18" s="111"/>
      <c r="B18" s="103"/>
      <c r="C18" s="103"/>
      <c r="D18" s="103"/>
      <c r="E18" s="103"/>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188"/>
      <c r="AM18" s="188"/>
      <c r="AN18" s="190"/>
      <c r="AO18" s="273"/>
    </row>
    <row r="19" spans="1:44" ht="12.75" customHeight="1" thickBot="1" x14ac:dyDescent="0.25">
      <c r="A19" s="693" t="s">
        <v>1167</v>
      </c>
      <c r="B19" s="696" t="str">
        <f>IF(Sprache=DE,"Standort","Location/Site")</f>
        <v>Location/Site</v>
      </c>
      <c r="C19" s="693" t="s">
        <v>37</v>
      </c>
      <c r="D19" s="317"/>
      <c r="E19" s="317" t="str">
        <f>IF(Sprache=DE,"Inkl.","Incl.")</f>
        <v>Incl.</v>
      </c>
      <c r="F19" s="703" t="str">
        <f>IF(Sprache=DE,"Zulassung","Approval")</f>
        <v>Approval</v>
      </c>
      <c r="G19" s="704"/>
      <c r="H19" s="705"/>
      <c r="I19" s="702" t="str">
        <f>IF(Sprache=DE,"Bei Re: Neu","In Re: New")</f>
        <v>In Re: New</v>
      </c>
      <c r="J19" s="728" t="str">
        <f>IF(Sprache=DE,"Anzahl Mitarbeiter / Anzahl Schichten","Number of Employees / No. of Shifts")</f>
        <v>Number of Employees / No. of Shifts</v>
      </c>
      <c r="K19" s="728"/>
      <c r="L19" s="728"/>
      <c r="M19" s="728"/>
      <c r="N19" s="728"/>
      <c r="O19" s="728"/>
      <c r="P19" s="728"/>
      <c r="Q19" s="728"/>
      <c r="R19" s="728"/>
      <c r="S19" s="728"/>
      <c r="T19" s="728"/>
      <c r="U19" s="728"/>
      <c r="V19" s="728"/>
      <c r="W19" s="728"/>
      <c r="X19" s="729"/>
      <c r="Y19" s="733" t="str">
        <f>IF(Sprache=DE,"Land","Country")</f>
        <v>Country</v>
      </c>
      <c r="Z19" s="706" t="str">
        <f>IF(Sprache=DE,"Nur bei 'Several Sites'","For 'Several Sites' only")</f>
        <v>For 'Several Sites' only</v>
      </c>
      <c r="AA19" s="707"/>
      <c r="AB19" s="707"/>
      <c r="AC19" s="707"/>
      <c r="AD19" s="708"/>
      <c r="AE19" s="719" t="str">
        <f>IF(Sprache=DE,"Sprachen","Languages")</f>
        <v>Languages</v>
      </c>
      <c r="AF19" s="720"/>
      <c r="AG19" s="720"/>
      <c r="AH19" s="720"/>
      <c r="AI19" s="706" t="str">
        <f>IF(Sprache=DE,"Zertifizieren nach","To be certified for")</f>
        <v>To be certified for</v>
      </c>
      <c r="AJ19" s="707"/>
      <c r="AK19" s="707"/>
      <c r="AL19" s="708"/>
      <c r="AM19" s="712" t="str">
        <f>IF(Sprache=DE,"Geltungsbereich/Produkte","Scope/Products")</f>
        <v>Scope/Products</v>
      </c>
      <c r="AN19" s="713"/>
      <c r="AO19" s="696"/>
      <c r="AP19" s="318" t="str">
        <f>IF(Sprache=DE,"Geltungsbereich/Produkte","Scope/Products")</f>
        <v>Scope/Products</v>
      </c>
      <c r="AQ19" s="106" t="s">
        <v>174</v>
      </c>
    </row>
    <row r="20" spans="1:44" s="192" customFormat="1" ht="12.75" customHeight="1" x14ac:dyDescent="0.2">
      <c r="A20" s="694"/>
      <c r="B20" s="697"/>
      <c r="C20" s="694"/>
      <c r="D20" s="369" t="str">
        <f>IF(Sprache=DE,"Komplexität","Complexity")</f>
        <v>Complexity</v>
      </c>
      <c r="E20" s="691" t="s">
        <v>153</v>
      </c>
      <c r="F20" s="371" t="s">
        <v>1171</v>
      </c>
      <c r="G20" s="371" t="s">
        <v>1171</v>
      </c>
      <c r="H20" s="371" t="s">
        <v>1171</v>
      </c>
      <c r="I20" s="702"/>
      <c r="J20" s="699">
        <f>J_1</f>
        <v>2017</v>
      </c>
      <c r="K20" s="699"/>
      <c r="L20" s="700"/>
      <c r="M20" s="700"/>
      <c r="N20" s="701"/>
      <c r="O20" s="736">
        <f>J_2</f>
        <v>2018</v>
      </c>
      <c r="P20" s="699"/>
      <c r="Q20" s="700"/>
      <c r="R20" s="700">
        <f>O20</f>
        <v>2018</v>
      </c>
      <c r="S20" s="701"/>
      <c r="T20" s="725">
        <f>J_3</f>
        <v>2019</v>
      </c>
      <c r="U20" s="726"/>
      <c r="V20" s="726"/>
      <c r="W20" s="726"/>
      <c r="X20" s="727"/>
      <c r="Y20" s="734"/>
      <c r="Z20" s="730" t="s">
        <v>38</v>
      </c>
      <c r="AA20" s="731"/>
      <c r="AB20" s="731"/>
      <c r="AC20" s="731"/>
      <c r="AD20" s="732"/>
      <c r="AE20" s="714"/>
      <c r="AF20" s="715"/>
      <c r="AG20" s="715"/>
      <c r="AH20" s="715"/>
      <c r="AI20" s="709"/>
      <c r="AJ20" s="710"/>
      <c r="AK20" s="710"/>
      <c r="AL20" s="711"/>
      <c r="AM20" s="714"/>
      <c r="AN20" s="715"/>
      <c r="AO20" s="698"/>
      <c r="AP20" s="107"/>
      <c r="AQ20" s="107"/>
    </row>
    <row r="21" spans="1:44" ht="13.5" thickBot="1" x14ac:dyDescent="0.25">
      <c r="A21" s="695"/>
      <c r="B21" s="698"/>
      <c r="C21" s="695"/>
      <c r="D21" s="370"/>
      <c r="E21" s="692"/>
      <c r="F21" s="372" t="s">
        <v>1173</v>
      </c>
      <c r="G21" s="372" t="s">
        <v>1172</v>
      </c>
      <c r="H21" s="372">
        <v>145</v>
      </c>
      <c r="I21" s="702"/>
      <c r="J21" s="381" t="str">
        <f>IF(Sprache=DE,"Gesamt","Overall")</f>
        <v>Overall</v>
      </c>
      <c r="K21" s="330" t="s">
        <v>1168</v>
      </c>
      <c r="L21" s="330" t="s">
        <v>171</v>
      </c>
      <c r="M21" s="330" t="s">
        <v>154</v>
      </c>
      <c r="N21" s="331" t="str">
        <f>IF(Sprache=DE,"Schicht","Shifts")</f>
        <v>Shifts</v>
      </c>
      <c r="O21" s="329" t="str">
        <f>J21</f>
        <v>Overall</v>
      </c>
      <c r="P21" s="330" t="str">
        <f t="shared" ref="P21:S21" si="3">K21</f>
        <v>non Aero</v>
      </c>
      <c r="Q21" s="330" t="str">
        <f t="shared" si="3"/>
        <v>Aero</v>
      </c>
      <c r="R21" s="330" t="str">
        <f t="shared" si="3"/>
        <v>#MA</v>
      </c>
      <c r="S21" s="331" t="str">
        <f t="shared" si="3"/>
        <v>Shifts</v>
      </c>
      <c r="T21" s="329" t="str">
        <f>O21</f>
        <v>Overall</v>
      </c>
      <c r="U21" s="330" t="str">
        <f t="shared" ref="U21:X21" si="4">P21</f>
        <v>non Aero</v>
      </c>
      <c r="V21" s="330" t="str">
        <f t="shared" si="4"/>
        <v>Aero</v>
      </c>
      <c r="W21" s="330" t="str">
        <f t="shared" si="4"/>
        <v>#MA</v>
      </c>
      <c r="X21" s="331" t="str">
        <f t="shared" si="4"/>
        <v>Shifts</v>
      </c>
      <c r="Y21" s="735"/>
      <c r="Z21" s="329" t="s">
        <v>39</v>
      </c>
      <c r="AA21" s="330" t="s">
        <v>40</v>
      </c>
      <c r="AB21" s="330" t="s">
        <v>41</v>
      </c>
      <c r="AC21" s="330" t="s">
        <v>35</v>
      </c>
      <c r="AD21" s="331" t="s">
        <v>36</v>
      </c>
      <c r="AE21" s="336" t="str">
        <f>IF(Sprache=DE,"MS Dokumentation","MS Documentation")</f>
        <v>MS Documentation</v>
      </c>
      <c r="AF21" s="337" t="str">
        <f>IF(Sprache=DE,"Auditsprache","Audit language")</f>
        <v>Audit language</v>
      </c>
      <c r="AG21" s="337" t="str">
        <f>IF(Sprache=DE,"Übersetzer","Translator")</f>
        <v>Translator</v>
      </c>
      <c r="AH21" s="353" t="str">
        <f>IF(Sprache=DE,"Zuschlag","Addition")</f>
        <v>Addition</v>
      </c>
      <c r="AI21" s="329" t="str">
        <f>Standard1</f>
        <v>EN 9100</v>
      </c>
      <c r="AJ21" s="330" t="str">
        <f>Standard2</f>
        <v>EN 9110</v>
      </c>
      <c r="AK21" s="330" t="str">
        <f>Standard3</f>
        <v>EN 9120</v>
      </c>
      <c r="AL21" s="331" t="s">
        <v>43</v>
      </c>
      <c r="AM21" s="352" t="str">
        <f>Standard1</f>
        <v>EN 9100</v>
      </c>
      <c r="AN21" s="112" t="str">
        <f>Standard2</f>
        <v>EN 9110</v>
      </c>
      <c r="AO21" s="112" t="str">
        <f>Standard3</f>
        <v>EN 9120</v>
      </c>
      <c r="AP21" s="112" t="s">
        <v>43</v>
      </c>
      <c r="AQ21" s="107">
        <f>SUM(AQ22:AQ72)</f>
        <v>0</v>
      </c>
    </row>
    <row r="22" spans="1:44" s="138" customFormat="1" ht="12.75" customHeight="1" x14ac:dyDescent="0.2">
      <c r="A22" s="398" t="str">
        <f>IF(Sprache=DE,"Z","C")</f>
        <v>C</v>
      </c>
      <c r="B22" s="395" t="str">
        <f>IF(Ort="","",Ort)</f>
        <v/>
      </c>
      <c r="C22" s="392" t="str">
        <f t="shared" ref="C22:C53" si="5">IF(AND(A22=Hauptsitz,NOT(ISBLANK(OIN))),OIN,"")</f>
        <v/>
      </c>
      <c r="D22" s="378" t="str">
        <f t="shared" ref="D22:D53" si="6">Empty</f>
        <v>?</v>
      </c>
      <c r="E22" s="394" t="str">
        <f t="shared" ref="E22" si="7">DesignDefault</f>
        <v>Yes</v>
      </c>
      <c r="F22" s="380" t="str">
        <f>Part21J</f>
        <v>No</v>
      </c>
      <c r="G22" s="380" t="str">
        <f>Part21G</f>
        <v>No</v>
      </c>
      <c r="H22" s="380" t="str">
        <f>Part145</f>
        <v>No</v>
      </c>
      <c r="I22" s="380" t="s">
        <v>1170</v>
      </c>
      <c r="J22" s="326">
        <v>0</v>
      </c>
      <c r="K22" s="327">
        <v>0</v>
      </c>
      <c r="L22" s="396">
        <f>MAX(0,J22-K22)</f>
        <v>0</v>
      </c>
      <c r="M22" s="396">
        <f t="shared" ref="M22:M53" si="8">IF(OR(Teilbereich=Nein,$AL22=Ja),J22,L22)</f>
        <v>0</v>
      </c>
      <c r="N22" s="332">
        <v>1</v>
      </c>
      <c r="O22" s="326">
        <f>J22</f>
        <v>0</v>
      </c>
      <c r="P22" s="327">
        <f>K22</f>
        <v>0</v>
      </c>
      <c r="Q22" s="396">
        <f>MAX(0,O22-P22)</f>
        <v>0</v>
      </c>
      <c r="R22" s="396">
        <f t="shared" ref="R22:R53" si="9">IF(OR(Teilbereich=Nein,$AL22=Ja),O22,Q22)</f>
        <v>0</v>
      </c>
      <c r="S22" s="328">
        <f>N22</f>
        <v>1</v>
      </c>
      <c r="T22" s="326">
        <f>O22</f>
        <v>0</v>
      </c>
      <c r="U22" s="327">
        <f>P22</f>
        <v>0</v>
      </c>
      <c r="V22" s="396">
        <f t="shared" ref="V22:V53" si="10">MAX(0,T22-U22)</f>
        <v>0</v>
      </c>
      <c r="W22" s="396">
        <f t="shared" ref="W22:W53" si="11">IF(OR(Teilbereich=Nein,$AL22=Ja),T22,V22)</f>
        <v>0</v>
      </c>
      <c r="X22" s="332">
        <f>S22</f>
        <v>1</v>
      </c>
      <c r="Y22" s="333" t="s">
        <v>45</v>
      </c>
      <c r="Z22" s="334"/>
      <c r="AA22" s="334"/>
      <c r="AB22" s="334"/>
      <c r="AC22" s="334"/>
      <c r="AD22" s="335" t="s">
        <v>28</v>
      </c>
      <c r="AE22" s="333" t="str">
        <f t="shared" ref="AE22:AE54" si="12">QMSprache</f>
        <v>English</v>
      </c>
      <c r="AF22" s="333" t="str">
        <f t="shared" ref="AF22:AF53" si="13">Auditsprache</f>
        <v>English</v>
      </c>
      <c r="AG22" s="333" t="str">
        <f t="shared" ref="AG22:AG53" si="14">Nein</f>
        <v>No</v>
      </c>
      <c r="AH22" s="333" t="str">
        <f t="shared" ref="AH22:AH53" si="15">Dolmetsch__001</f>
        <v>No</v>
      </c>
      <c r="AI22" s="338" t="str">
        <f t="shared" ref="AI22:AI53" si="16">IF($L22+$Q22+$V22&gt;0,EN9100Ja,Nein)</f>
        <v>No</v>
      </c>
      <c r="AJ22" s="338" t="str">
        <f t="shared" ref="AJ22:AJ53" si="17">IF($L22+$Q22+$V22&gt;0,EN9110Ja,Nein)</f>
        <v>No</v>
      </c>
      <c r="AK22" s="338" t="str">
        <f t="shared" ref="AK22:AK53" si="18">IF($L22+$Q22+$V22&gt;0,EN9120Ja,Nein)</f>
        <v>No</v>
      </c>
      <c r="AL22" s="338" t="str">
        <f t="shared" ref="AL22:AL53" si="19">IF($J22+$O22+$T22&gt;0,ISO9001Ja,Nein)</f>
        <v>No</v>
      </c>
      <c r="AM22" s="400" t="str">
        <f t="shared" ref="AM22:AM53" si="20">IF(OR(ISBLANK(ScopeEN9100),AI22=Nein,SUM($J22:$V22)=0),"",ScopeEN9100)</f>
        <v/>
      </c>
      <c r="AN22" s="401" t="str">
        <f t="shared" ref="AN22:AN53" si="21">IF(OR(ISBLANK(ScopeEN9110),AJ22=Nein,SUM($J22:$V22)=0),"",ScopeEN9110)</f>
        <v/>
      </c>
      <c r="AO22" s="401" t="str">
        <f t="shared" ref="AO22:AO53" si="22">IF(OR(ISBLANK(ScopeEN9120),AK22=Nein,SUM($J22:$V22)=0),"",ScopeEN9120)</f>
        <v/>
      </c>
      <c r="AP22" s="401" t="str">
        <f t="shared" ref="AP22:AP53" si="23">IF(OR(ISBLANK(ScopeISO9001),AL22=Nein,SUM($J22:$V22)=0),"",ScopeISO9001)</f>
        <v/>
      </c>
      <c r="AQ22" s="399">
        <f t="shared" ref="AQ22:AQ53" si="24">IF(R22&lt;&gt;M22,1,0)</f>
        <v>0</v>
      </c>
    </row>
    <row r="23" spans="1:44" s="138" customFormat="1" ht="12.75" customHeight="1" x14ac:dyDescent="0.2">
      <c r="A23" s="399">
        <v>1</v>
      </c>
      <c r="B23" s="308"/>
      <c r="C23" s="214" t="str">
        <f t="shared" si="5"/>
        <v/>
      </c>
      <c r="D23" s="378" t="str">
        <f t="shared" si="6"/>
        <v>?</v>
      </c>
      <c r="E23" s="394" t="str">
        <f t="shared" ref="E23:E54" si="25">SiteDesign_001</f>
        <v>Yes</v>
      </c>
      <c r="F23" s="380" t="str">
        <f>F22</f>
        <v>No</v>
      </c>
      <c r="G23" s="380" t="str">
        <f>G22</f>
        <v>No</v>
      </c>
      <c r="H23" s="380" t="str">
        <f>H22</f>
        <v>No</v>
      </c>
      <c r="I23" s="380" t="str">
        <f>I22</f>
        <v>Nein</v>
      </c>
      <c r="J23" s="241">
        <v>0</v>
      </c>
      <c r="K23" s="313">
        <v>0</v>
      </c>
      <c r="L23" s="397">
        <f t="shared" ref="L23:L72" si="26">MAX(0,J23-K23)</f>
        <v>0</v>
      </c>
      <c r="M23" s="464">
        <f t="shared" si="8"/>
        <v>0</v>
      </c>
      <c r="N23" s="215">
        <v>1</v>
      </c>
      <c r="O23" s="326">
        <f t="shared" ref="O23:O72" si="27">J23</f>
        <v>0</v>
      </c>
      <c r="P23" s="327">
        <f t="shared" ref="P23:P72" si="28">K23</f>
        <v>0</v>
      </c>
      <c r="Q23" s="397">
        <f t="shared" ref="Q23:Q72" si="29">MAX(0,O23-P23)</f>
        <v>0</v>
      </c>
      <c r="R23" s="464">
        <f t="shared" si="9"/>
        <v>0</v>
      </c>
      <c r="S23" s="328">
        <f t="shared" ref="S23:S72" si="30">N23</f>
        <v>1</v>
      </c>
      <c r="T23" s="326">
        <f t="shared" ref="T23:T72" si="31">O23</f>
        <v>0</v>
      </c>
      <c r="U23" s="327">
        <f t="shared" ref="U23:U72" si="32">P23</f>
        <v>0</v>
      </c>
      <c r="V23" s="397">
        <f t="shared" si="10"/>
        <v>0</v>
      </c>
      <c r="W23" s="464">
        <f t="shared" si="11"/>
        <v>0</v>
      </c>
      <c r="X23" s="332">
        <f t="shared" ref="X23:X72" si="33">S23</f>
        <v>1</v>
      </c>
      <c r="Y23" s="238" t="s">
        <v>45</v>
      </c>
      <c r="Z23" s="67"/>
      <c r="AA23" s="67"/>
      <c r="AB23" s="67"/>
      <c r="AC23" s="67"/>
      <c r="AD23" s="67"/>
      <c r="AE23" s="271" t="str">
        <f t="shared" si="12"/>
        <v>English</v>
      </c>
      <c r="AF23" s="271" t="str">
        <f t="shared" si="13"/>
        <v>English</v>
      </c>
      <c r="AG23" s="271" t="str">
        <f t="shared" si="14"/>
        <v>No</v>
      </c>
      <c r="AH23" s="271" t="str">
        <f t="shared" si="15"/>
        <v>No</v>
      </c>
      <c r="AI23" s="393" t="str">
        <f t="shared" si="16"/>
        <v>No</v>
      </c>
      <c r="AJ23" s="393" t="str">
        <f t="shared" si="17"/>
        <v>No</v>
      </c>
      <c r="AK23" s="393" t="str">
        <f t="shared" si="18"/>
        <v>No</v>
      </c>
      <c r="AL23" s="393" t="str">
        <f t="shared" si="19"/>
        <v>No</v>
      </c>
      <c r="AM23" s="400" t="str">
        <f t="shared" si="20"/>
        <v/>
      </c>
      <c r="AN23" s="401" t="str">
        <f t="shared" si="21"/>
        <v/>
      </c>
      <c r="AO23" s="401" t="str">
        <f t="shared" si="22"/>
        <v/>
      </c>
      <c r="AP23" s="401" t="str">
        <f t="shared" si="23"/>
        <v/>
      </c>
      <c r="AQ23" s="399">
        <f t="shared" si="24"/>
        <v>0</v>
      </c>
    </row>
    <row r="24" spans="1:44" s="138" customFormat="1" ht="12.75" customHeight="1" x14ac:dyDescent="0.2">
      <c r="A24" s="399">
        <v>2</v>
      </c>
      <c r="B24" s="308"/>
      <c r="C24" s="214" t="str">
        <f t="shared" si="5"/>
        <v/>
      </c>
      <c r="D24" s="378" t="str">
        <f t="shared" si="6"/>
        <v>?</v>
      </c>
      <c r="E24" s="394" t="str">
        <f t="shared" si="25"/>
        <v>Yes</v>
      </c>
      <c r="F24" s="380" t="str">
        <f t="shared" ref="F24:F72" si="34">F23</f>
        <v>No</v>
      </c>
      <c r="G24" s="380" t="str">
        <f t="shared" ref="G24:G72" si="35">G23</f>
        <v>No</v>
      </c>
      <c r="H24" s="380" t="str">
        <f t="shared" ref="H24:I72" si="36">H23</f>
        <v>No</v>
      </c>
      <c r="I24" s="380" t="str">
        <f t="shared" si="36"/>
        <v>Nein</v>
      </c>
      <c r="J24" s="241">
        <v>0</v>
      </c>
      <c r="K24" s="313">
        <v>0</v>
      </c>
      <c r="L24" s="397">
        <f t="shared" si="26"/>
        <v>0</v>
      </c>
      <c r="M24" s="464">
        <f t="shared" si="8"/>
        <v>0</v>
      </c>
      <c r="N24" s="215">
        <v>1</v>
      </c>
      <c r="O24" s="326">
        <f t="shared" si="27"/>
        <v>0</v>
      </c>
      <c r="P24" s="327">
        <f t="shared" si="28"/>
        <v>0</v>
      </c>
      <c r="Q24" s="397">
        <f t="shared" si="29"/>
        <v>0</v>
      </c>
      <c r="R24" s="464">
        <f t="shared" si="9"/>
        <v>0</v>
      </c>
      <c r="S24" s="328">
        <f t="shared" si="30"/>
        <v>1</v>
      </c>
      <c r="T24" s="326">
        <f t="shared" si="31"/>
        <v>0</v>
      </c>
      <c r="U24" s="327">
        <f t="shared" si="32"/>
        <v>0</v>
      </c>
      <c r="V24" s="397">
        <f t="shared" si="10"/>
        <v>0</v>
      </c>
      <c r="W24" s="464">
        <f t="shared" si="11"/>
        <v>0</v>
      </c>
      <c r="X24" s="332">
        <f t="shared" si="33"/>
        <v>1</v>
      </c>
      <c r="Y24" s="238" t="s">
        <v>45</v>
      </c>
      <c r="Z24" s="67"/>
      <c r="AA24" s="67"/>
      <c r="AB24" s="67"/>
      <c r="AC24" s="67"/>
      <c r="AD24" s="67"/>
      <c r="AE24" s="271" t="str">
        <f t="shared" si="12"/>
        <v>English</v>
      </c>
      <c r="AF24" s="271" t="str">
        <f t="shared" si="13"/>
        <v>English</v>
      </c>
      <c r="AG24" s="271" t="str">
        <f t="shared" si="14"/>
        <v>No</v>
      </c>
      <c r="AH24" s="271" t="str">
        <f t="shared" si="15"/>
        <v>No</v>
      </c>
      <c r="AI24" s="393" t="str">
        <f t="shared" si="16"/>
        <v>No</v>
      </c>
      <c r="AJ24" s="393" t="str">
        <f t="shared" si="17"/>
        <v>No</v>
      </c>
      <c r="AK24" s="393" t="str">
        <f t="shared" si="18"/>
        <v>No</v>
      </c>
      <c r="AL24" s="393" t="str">
        <f t="shared" si="19"/>
        <v>No</v>
      </c>
      <c r="AM24" s="400" t="str">
        <f t="shared" si="20"/>
        <v/>
      </c>
      <c r="AN24" s="401" t="str">
        <f t="shared" si="21"/>
        <v/>
      </c>
      <c r="AO24" s="401" t="str">
        <f t="shared" si="22"/>
        <v/>
      </c>
      <c r="AP24" s="401" t="str">
        <f t="shared" si="23"/>
        <v/>
      </c>
      <c r="AQ24" s="399">
        <f t="shared" si="24"/>
        <v>0</v>
      </c>
    </row>
    <row r="25" spans="1:44" s="138" customFormat="1" ht="12.75" customHeight="1" x14ac:dyDescent="0.2">
      <c r="A25" s="399">
        <v>3</v>
      </c>
      <c r="B25" s="308"/>
      <c r="C25" s="214" t="str">
        <f t="shared" si="5"/>
        <v/>
      </c>
      <c r="D25" s="378" t="str">
        <f t="shared" si="6"/>
        <v>?</v>
      </c>
      <c r="E25" s="394" t="str">
        <f t="shared" si="25"/>
        <v>Yes</v>
      </c>
      <c r="F25" s="380" t="str">
        <f t="shared" si="34"/>
        <v>No</v>
      </c>
      <c r="G25" s="380" t="str">
        <f t="shared" si="35"/>
        <v>No</v>
      </c>
      <c r="H25" s="380" t="str">
        <f t="shared" si="36"/>
        <v>No</v>
      </c>
      <c r="I25" s="380" t="str">
        <f t="shared" si="36"/>
        <v>Nein</v>
      </c>
      <c r="J25" s="241">
        <v>0</v>
      </c>
      <c r="K25" s="313">
        <v>0</v>
      </c>
      <c r="L25" s="397">
        <f t="shared" si="26"/>
        <v>0</v>
      </c>
      <c r="M25" s="464">
        <f t="shared" si="8"/>
        <v>0</v>
      </c>
      <c r="N25" s="215">
        <v>1</v>
      </c>
      <c r="O25" s="326">
        <f t="shared" si="27"/>
        <v>0</v>
      </c>
      <c r="P25" s="327">
        <f t="shared" si="28"/>
        <v>0</v>
      </c>
      <c r="Q25" s="397">
        <f t="shared" si="29"/>
        <v>0</v>
      </c>
      <c r="R25" s="464">
        <f t="shared" si="9"/>
        <v>0</v>
      </c>
      <c r="S25" s="328">
        <f t="shared" si="30"/>
        <v>1</v>
      </c>
      <c r="T25" s="326">
        <f t="shared" si="31"/>
        <v>0</v>
      </c>
      <c r="U25" s="327">
        <f t="shared" si="32"/>
        <v>0</v>
      </c>
      <c r="V25" s="397">
        <f t="shared" si="10"/>
        <v>0</v>
      </c>
      <c r="W25" s="464">
        <f t="shared" si="11"/>
        <v>0</v>
      </c>
      <c r="X25" s="332">
        <f t="shared" si="33"/>
        <v>1</v>
      </c>
      <c r="Y25" s="238" t="s">
        <v>45</v>
      </c>
      <c r="Z25" s="67"/>
      <c r="AA25" s="67"/>
      <c r="AB25" s="67"/>
      <c r="AC25" s="67"/>
      <c r="AD25" s="67"/>
      <c r="AE25" s="271" t="str">
        <f t="shared" si="12"/>
        <v>English</v>
      </c>
      <c r="AF25" s="271" t="str">
        <f t="shared" si="13"/>
        <v>English</v>
      </c>
      <c r="AG25" s="271" t="str">
        <f t="shared" si="14"/>
        <v>No</v>
      </c>
      <c r="AH25" s="271" t="str">
        <f t="shared" si="15"/>
        <v>No</v>
      </c>
      <c r="AI25" s="393" t="str">
        <f t="shared" si="16"/>
        <v>No</v>
      </c>
      <c r="AJ25" s="393" t="str">
        <f t="shared" si="17"/>
        <v>No</v>
      </c>
      <c r="AK25" s="393" t="str">
        <f t="shared" si="18"/>
        <v>No</v>
      </c>
      <c r="AL25" s="393" t="str">
        <f t="shared" si="19"/>
        <v>No</v>
      </c>
      <c r="AM25" s="400" t="str">
        <f t="shared" si="20"/>
        <v/>
      </c>
      <c r="AN25" s="401" t="str">
        <f t="shared" si="21"/>
        <v/>
      </c>
      <c r="AO25" s="401" t="str">
        <f t="shared" si="22"/>
        <v/>
      </c>
      <c r="AP25" s="401" t="str">
        <f t="shared" si="23"/>
        <v/>
      </c>
      <c r="AQ25" s="399">
        <f t="shared" si="24"/>
        <v>0</v>
      </c>
    </row>
    <row r="26" spans="1:44" s="138" customFormat="1" ht="12.75" customHeight="1" x14ac:dyDescent="0.2">
      <c r="A26" s="399">
        <v>4</v>
      </c>
      <c r="B26" s="308"/>
      <c r="C26" s="214" t="str">
        <f t="shared" si="5"/>
        <v/>
      </c>
      <c r="D26" s="378" t="s">
        <v>1176</v>
      </c>
      <c r="E26" s="394" t="str">
        <f t="shared" si="25"/>
        <v>Yes</v>
      </c>
      <c r="F26" s="380" t="str">
        <f t="shared" si="34"/>
        <v>No</v>
      </c>
      <c r="G26" s="380" t="str">
        <f t="shared" si="35"/>
        <v>No</v>
      </c>
      <c r="H26" s="380" t="str">
        <f t="shared" si="36"/>
        <v>No</v>
      </c>
      <c r="I26" s="380" t="str">
        <f t="shared" si="36"/>
        <v>Nein</v>
      </c>
      <c r="J26" s="241">
        <v>0</v>
      </c>
      <c r="K26" s="313">
        <v>0</v>
      </c>
      <c r="L26" s="397">
        <f t="shared" si="26"/>
        <v>0</v>
      </c>
      <c r="M26" s="464">
        <f t="shared" si="8"/>
        <v>0</v>
      </c>
      <c r="N26" s="215">
        <v>1</v>
      </c>
      <c r="O26" s="326">
        <f t="shared" si="27"/>
        <v>0</v>
      </c>
      <c r="P26" s="327">
        <f t="shared" si="28"/>
        <v>0</v>
      </c>
      <c r="Q26" s="397">
        <f t="shared" si="29"/>
        <v>0</v>
      </c>
      <c r="R26" s="464">
        <f t="shared" si="9"/>
        <v>0</v>
      </c>
      <c r="S26" s="328">
        <f t="shared" si="30"/>
        <v>1</v>
      </c>
      <c r="T26" s="326">
        <f t="shared" si="31"/>
        <v>0</v>
      </c>
      <c r="U26" s="327">
        <f t="shared" si="32"/>
        <v>0</v>
      </c>
      <c r="V26" s="397">
        <f t="shared" si="10"/>
        <v>0</v>
      </c>
      <c r="W26" s="464">
        <f t="shared" si="11"/>
        <v>0</v>
      </c>
      <c r="X26" s="332">
        <f t="shared" si="33"/>
        <v>1</v>
      </c>
      <c r="Y26" s="238" t="s">
        <v>45</v>
      </c>
      <c r="Z26" s="67"/>
      <c r="AA26" s="67"/>
      <c r="AB26" s="67"/>
      <c r="AC26" s="67"/>
      <c r="AD26" s="67"/>
      <c r="AE26" s="271" t="str">
        <f t="shared" si="12"/>
        <v>English</v>
      </c>
      <c r="AF26" s="271" t="str">
        <f t="shared" si="13"/>
        <v>English</v>
      </c>
      <c r="AG26" s="271" t="str">
        <f t="shared" si="14"/>
        <v>No</v>
      </c>
      <c r="AH26" s="271" t="str">
        <f t="shared" si="15"/>
        <v>No</v>
      </c>
      <c r="AI26" s="393" t="str">
        <f t="shared" si="16"/>
        <v>No</v>
      </c>
      <c r="AJ26" s="393" t="str">
        <f t="shared" si="17"/>
        <v>No</v>
      </c>
      <c r="AK26" s="393" t="str">
        <f t="shared" si="18"/>
        <v>No</v>
      </c>
      <c r="AL26" s="393" t="str">
        <f t="shared" si="19"/>
        <v>No</v>
      </c>
      <c r="AM26" s="400" t="str">
        <f t="shared" si="20"/>
        <v/>
      </c>
      <c r="AN26" s="401" t="str">
        <f t="shared" si="21"/>
        <v/>
      </c>
      <c r="AO26" s="401" t="str">
        <f t="shared" si="22"/>
        <v/>
      </c>
      <c r="AP26" s="401" t="str">
        <f t="shared" si="23"/>
        <v/>
      </c>
      <c r="AQ26" s="399">
        <f t="shared" si="24"/>
        <v>0</v>
      </c>
    </row>
    <row r="27" spans="1:44" s="138" customFormat="1" ht="12.75" customHeight="1" x14ac:dyDescent="0.2">
      <c r="A27" s="399">
        <v>5</v>
      </c>
      <c r="B27" s="308"/>
      <c r="C27" s="214" t="str">
        <f t="shared" si="5"/>
        <v/>
      </c>
      <c r="D27" s="378" t="str">
        <f t="shared" si="6"/>
        <v>?</v>
      </c>
      <c r="E27" s="394" t="str">
        <f t="shared" si="25"/>
        <v>Yes</v>
      </c>
      <c r="F27" s="380" t="str">
        <f t="shared" si="34"/>
        <v>No</v>
      </c>
      <c r="G27" s="380" t="str">
        <f t="shared" si="35"/>
        <v>No</v>
      </c>
      <c r="H27" s="380" t="str">
        <f t="shared" si="36"/>
        <v>No</v>
      </c>
      <c r="I27" s="380" t="str">
        <f t="shared" si="36"/>
        <v>Nein</v>
      </c>
      <c r="J27" s="241">
        <v>0</v>
      </c>
      <c r="K27" s="313">
        <v>0</v>
      </c>
      <c r="L27" s="397">
        <f t="shared" si="26"/>
        <v>0</v>
      </c>
      <c r="M27" s="464">
        <f t="shared" si="8"/>
        <v>0</v>
      </c>
      <c r="N27" s="215">
        <v>1</v>
      </c>
      <c r="O27" s="326">
        <f t="shared" si="27"/>
        <v>0</v>
      </c>
      <c r="P27" s="327">
        <f t="shared" si="28"/>
        <v>0</v>
      </c>
      <c r="Q27" s="397">
        <f t="shared" si="29"/>
        <v>0</v>
      </c>
      <c r="R27" s="464">
        <f t="shared" si="9"/>
        <v>0</v>
      </c>
      <c r="S27" s="328">
        <f t="shared" si="30"/>
        <v>1</v>
      </c>
      <c r="T27" s="326">
        <f t="shared" si="31"/>
        <v>0</v>
      </c>
      <c r="U27" s="327">
        <f t="shared" si="32"/>
        <v>0</v>
      </c>
      <c r="V27" s="397">
        <f t="shared" si="10"/>
        <v>0</v>
      </c>
      <c r="W27" s="464">
        <f t="shared" si="11"/>
        <v>0</v>
      </c>
      <c r="X27" s="332">
        <f t="shared" si="33"/>
        <v>1</v>
      </c>
      <c r="Y27" s="238" t="s">
        <v>45</v>
      </c>
      <c r="Z27" s="67"/>
      <c r="AA27" s="67"/>
      <c r="AB27" s="67"/>
      <c r="AC27" s="67"/>
      <c r="AD27" s="67"/>
      <c r="AE27" s="271" t="str">
        <f t="shared" si="12"/>
        <v>English</v>
      </c>
      <c r="AF27" s="271" t="str">
        <f t="shared" si="13"/>
        <v>English</v>
      </c>
      <c r="AG27" s="271" t="str">
        <f t="shared" si="14"/>
        <v>No</v>
      </c>
      <c r="AH27" s="271" t="str">
        <f t="shared" si="15"/>
        <v>No</v>
      </c>
      <c r="AI27" s="393" t="str">
        <f t="shared" si="16"/>
        <v>No</v>
      </c>
      <c r="AJ27" s="393" t="str">
        <f t="shared" si="17"/>
        <v>No</v>
      </c>
      <c r="AK27" s="393" t="str">
        <f t="shared" si="18"/>
        <v>No</v>
      </c>
      <c r="AL27" s="393" t="str">
        <f t="shared" si="19"/>
        <v>No</v>
      </c>
      <c r="AM27" s="400" t="str">
        <f t="shared" si="20"/>
        <v/>
      </c>
      <c r="AN27" s="401" t="str">
        <f t="shared" si="21"/>
        <v/>
      </c>
      <c r="AO27" s="401" t="str">
        <f t="shared" si="22"/>
        <v/>
      </c>
      <c r="AP27" s="401" t="str">
        <f t="shared" si="23"/>
        <v/>
      </c>
      <c r="AQ27" s="399">
        <f t="shared" si="24"/>
        <v>0</v>
      </c>
    </row>
    <row r="28" spans="1:44" s="138" customFormat="1" ht="12.75" customHeight="1" x14ac:dyDescent="0.2">
      <c r="A28" s="399">
        <v>6</v>
      </c>
      <c r="B28" s="308"/>
      <c r="C28" s="214" t="str">
        <f t="shared" si="5"/>
        <v/>
      </c>
      <c r="D28" s="378" t="str">
        <f t="shared" si="6"/>
        <v>?</v>
      </c>
      <c r="E28" s="394" t="str">
        <f t="shared" si="25"/>
        <v>Yes</v>
      </c>
      <c r="F28" s="380" t="str">
        <f t="shared" si="34"/>
        <v>No</v>
      </c>
      <c r="G28" s="380" t="str">
        <f t="shared" si="35"/>
        <v>No</v>
      </c>
      <c r="H28" s="380" t="str">
        <f t="shared" si="36"/>
        <v>No</v>
      </c>
      <c r="I28" s="380" t="str">
        <f t="shared" si="36"/>
        <v>Nein</v>
      </c>
      <c r="J28" s="241">
        <v>0</v>
      </c>
      <c r="K28" s="313">
        <v>0</v>
      </c>
      <c r="L28" s="397">
        <f t="shared" si="26"/>
        <v>0</v>
      </c>
      <c r="M28" s="464">
        <f t="shared" si="8"/>
        <v>0</v>
      </c>
      <c r="N28" s="215">
        <v>1</v>
      </c>
      <c r="O28" s="326">
        <f t="shared" si="27"/>
        <v>0</v>
      </c>
      <c r="P28" s="327">
        <f t="shared" si="28"/>
        <v>0</v>
      </c>
      <c r="Q28" s="397">
        <f t="shared" si="29"/>
        <v>0</v>
      </c>
      <c r="R28" s="464">
        <f t="shared" si="9"/>
        <v>0</v>
      </c>
      <c r="S28" s="328">
        <f t="shared" si="30"/>
        <v>1</v>
      </c>
      <c r="T28" s="326">
        <f t="shared" si="31"/>
        <v>0</v>
      </c>
      <c r="U28" s="327">
        <f t="shared" si="32"/>
        <v>0</v>
      </c>
      <c r="V28" s="397">
        <f t="shared" si="10"/>
        <v>0</v>
      </c>
      <c r="W28" s="464">
        <f t="shared" si="11"/>
        <v>0</v>
      </c>
      <c r="X28" s="332">
        <f t="shared" si="33"/>
        <v>1</v>
      </c>
      <c r="Y28" s="238" t="s">
        <v>45</v>
      </c>
      <c r="Z28" s="67"/>
      <c r="AA28" s="67"/>
      <c r="AB28" s="67"/>
      <c r="AC28" s="67"/>
      <c r="AD28" s="67"/>
      <c r="AE28" s="271" t="str">
        <f t="shared" si="12"/>
        <v>English</v>
      </c>
      <c r="AF28" s="271" t="str">
        <f t="shared" si="13"/>
        <v>English</v>
      </c>
      <c r="AG28" s="271" t="str">
        <f t="shared" si="14"/>
        <v>No</v>
      </c>
      <c r="AH28" s="271" t="str">
        <f t="shared" si="15"/>
        <v>No</v>
      </c>
      <c r="AI28" s="393" t="str">
        <f t="shared" si="16"/>
        <v>No</v>
      </c>
      <c r="AJ28" s="393" t="str">
        <f t="shared" si="17"/>
        <v>No</v>
      </c>
      <c r="AK28" s="393" t="str">
        <f t="shared" si="18"/>
        <v>No</v>
      </c>
      <c r="AL28" s="393" t="str">
        <f t="shared" si="19"/>
        <v>No</v>
      </c>
      <c r="AM28" s="400" t="str">
        <f t="shared" si="20"/>
        <v/>
      </c>
      <c r="AN28" s="401" t="str">
        <f t="shared" si="21"/>
        <v/>
      </c>
      <c r="AO28" s="401" t="str">
        <f t="shared" si="22"/>
        <v/>
      </c>
      <c r="AP28" s="401" t="str">
        <f t="shared" si="23"/>
        <v/>
      </c>
      <c r="AQ28" s="399">
        <f t="shared" si="24"/>
        <v>0</v>
      </c>
    </row>
    <row r="29" spans="1:44" s="138" customFormat="1" ht="12.75" customHeight="1" x14ac:dyDescent="0.2">
      <c r="A29" s="399">
        <v>7</v>
      </c>
      <c r="B29" s="308"/>
      <c r="C29" s="214" t="str">
        <f t="shared" si="5"/>
        <v/>
      </c>
      <c r="D29" s="378" t="str">
        <f t="shared" si="6"/>
        <v>?</v>
      </c>
      <c r="E29" s="394" t="str">
        <f t="shared" si="25"/>
        <v>Yes</v>
      </c>
      <c r="F29" s="380" t="str">
        <f t="shared" si="34"/>
        <v>No</v>
      </c>
      <c r="G29" s="380" t="str">
        <f t="shared" si="35"/>
        <v>No</v>
      </c>
      <c r="H29" s="380" t="str">
        <f t="shared" si="36"/>
        <v>No</v>
      </c>
      <c r="I29" s="380" t="str">
        <f t="shared" si="36"/>
        <v>Nein</v>
      </c>
      <c r="J29" s="241">
        <v>0</v>
      </c>
      <c r="K29" s="313">
        <v>0</v>
      </c>
      <c r="L29" s="397">
        <f t="shared" si="26"/>
        <v>0</v>
      </c>
      <c r="M29" s="464">
        <f t="shared" si="8"/>
        <v>0</v>
      </c>
      <c r="N29" s="215">
        <v>1</v>
      </c>
      <c r="O29" s="326">
        <f t="shared" si="27"/>
        <v>0</v>
      </c>
      <c r="P29" s="327">
        <f t="shared" si="28"/>
        <v>0</v>
      </c>
      <c r="Q29" s="397">
        <f t="shared" si="29"/>
        <v>0</v>
      </c>
      <c r="R29" s="464">
        <f t="shared" si="9"/>
        <v>0</v>
      </c>
      <c r="S29" s="328">
        <f t="shared" si="30"/>
        <v>1</v>
      </c>
      <c r="T29" s="326">
        <f t="shared" si="31"/>
        <v>0</v>
      </c>
      <c r="U29" s="327">
        <f t="shared" si="32"/>
        <v>0</v>
      </c>
      <c r="V29" s="397">
        <f t="shared" si="10"/>
        <v>0</v>
      </c>
      <c r="W29" s="464">
        <f t="shared" si="11"/>
        <v>0</v>
      </c>
      <c r="X29" s="332">
        <f t="shared" si="33"/>
        <v>1</v>
      </c>
      <c r="Y29" s="238" t="s">
        <v>45</v>
      </c>
      <c r="Z29" s="67"/>
      <c r="AA29" s="67"/>
      <c r="AB29" s="67"/>
      <c r="AC29" s="67"/>
      <c r="AD29" s="67"/>
      <c r="AE29" s="271" t="str">
        <f t="shared" si="12"/>
        <v>English</v>
      </c>
      <c r="AF29" s="271" t="str">
        <f t="shared" si="13"/>
        <v>English</v>
      </c>
      <c r="AG29" s="271" t="str">
        <f t="shared" si="14"/>
        <v>No</v>
      </c>
      <c r="AH29" s="271" t="str">
        <f t="shared" si="15"/>
        <v>No</v>
      </c>
      <c r="AI29" s="393" t="str">
        <f t="shared" si="16"/>
        <v>No</v>
      </c>
      <c r="AJ29" s="393" t="str">
        <f t="shared" si="17"/>
        <v>No</v>
      </c>
      <c r="AK29" s="393" t="str">
        <f t="shared" si="18"/>
        <v>No</v>
      </c>
      <c r="AL29" s="393" t="str">
        <f t="shared" si="19"/>
        <v>No</v>
      </c>
      <c r="AM29" s="400" t="str">
        <f t="shared" si="20"/>
        <v/>
      </c>
      <c r="AN29" s="401" t="str">
        <f t="shared" si="21"/>
        <v/>
      </c>
      <c r="AO29" s="401" t="str">
        <f t="shared" si="22"/>
        <v/>
      </c>
      <c r="AP29" s="401" t="str">
        <f t="shared" si="23"/>
        <v/>
      </c>
      <c r="AQ29" s="399">
        <f t="shared" si="24"/>
        <v>0</v>
      </c>
    </row>
    <row r="30" spans="1:44" s="138" customFormat="1" ht="12.75" customHeight="1" x14ac:dyDescent="0.2">
      <c r="A30" s="399">
        <v>8</v>
      </c>
      <c r="B30" s="308"/>
      <c r="C30" s="214" t="str">
        <f t="shared" si="5"/>
        <v/>
      </c>
      <c r="D30" s="378" t="str">
        <f t="shared" si="6"/>
        <v>?</v>
      </c>
      <c r="E30" s="394" t="str">
        <f t="shared" si="25"/>
        <v>Yes</v>
      </c>
      <c r="F30" s="380" t="str">
        <f t="shared" si="34"/>
        <v>No</v>
      </c>
      <c r="G30" s="380" t="str">
        <f t="shared" si="35"/>
        <v>No</v>
      </c>
      <c r="H30" s="380" t="str">
        <f t="shared" si="36"/>
        <v>No</v>
      </c>
      <c r="I30" s="380" t="str">
        <f t="shared" si="36"/>
        <v>Nein</v>
      </c>
      <c r="J30" s="241">
        <v>0</v>
      </c>
      <c r="K30" s="313">
        <v>0</v>
      </c>
      <c r="L30" s="397">
        <f t="shared" si="26"/>
        <v>0</v>
      </c>
      <c r="M30" s="464">
        <f t="shared" si="8"/>
        <v>0</v>
      </c>
      <c r="N30" s="215">
        <v>1</v>
      </c>
      <c r="O30" s="326">
        <f t="shared" si="27"/>
        <v>0</v>
      </c>
      <c r="P30" s="327">
        <f t="shared" si="28"/>
        <v>0</v>
      </c>
      <c r="Q30" s="397">
        <f t="shared" si="29"/>
        <v>0</v>
      </c>
      <c r="R30" s="464">
        <f t="shared" si="9"/>
        <v>0</v>
      </c>
      <c r="S30" s="328">
        <f t="shared" si="30"/>
        <v>1</v>
      </c>
      <c r="T30" s="326">
        <f t="shared" si="31"/>
        <v>0</v>
      </c>
      <c r="U30" s="327">
        <f t="shared" si="32"/>
        <v>0</v>
      </c>
      <c r="V30" s="397">
        <f t="shared" si="10"/>
        <v>0</v>
      </c>
      <c r="W30" s="464">
        <f t="shared" si="11"/>
        <v>0</v>
      </c>
      <c r="X30" s="332">
        <f t="shared" si="33"/>
        <v>1</v>
      </c>
      <c r="Y30" s="238" t="s">
        <v>45</v>
      </c>
      <c r="Z30" s="67"/>
      <c r="AA30" s="67"/>
      <c r="AB30" s="67"/>
      <c r="AC30" s="67"/>
      <c r="AD30" s="67"/>
      <c r="AE30" s="271" t="str">
        <f t="shared" si="12"/>
        <v>English</v>
      </c>
      <c r="AF30" s="271" t="str">
        <f t="shared" si="13"/>
        <v>English</v>
      </c>
      <c r="AG30" s="271" t="str">
        <f t="shared" si="14"/>
        <v>No</v>
      </c>
      <c r="AH30" s="271" t="str">
        <f t="shared" si="15"/>
        <v>No</v>
      </c>
      <c r="AI30" s="393" t="str">
        <f t="shared" si="16"/>
        <v>No</v>
      </c>
      <c r="AJ30" s="393" t="str">
        <f t="shared" si="17"/>
        <v>No</v>
      </c>
      <c r="AK30" s="393" t="str">
        <f t="shared" si="18"/>
        <v>No</v>
      </c>
      <c r="AL30" s="393" t="str">
        <f t="shared" si="19"/>
        <v>No</v>
      </c>
      <c r="AM30" s="400" t="str">
        <f t="shared" si="20"/>
        <v/>
      </c>
      <c r="AN30" s="401" t="str">
        <f t="shared" si="21"/>
        <v/>
      </c>
      <c r="AO30" s="401" t="str">
        <f t="shared" si="22"/>
        <v/>
      </c>
      <c r="AP30" s="401" t="str">
        <f t="shared" si="23"/>
        <v/>
      </c>
      <c r="AQ30" s="399">
        <f t="shared" si="24"/>
        <v>0</v>
      </c>
    </row>
    <row r="31" spans="1:44" s="138" customFormat="1" ht="12.75" customHeight="1" x14ac:dyDescent="0.2">
      <c r="A31" s="399">
        <v>9</v>
      </c>
      <c r="B31" s="308"/>
      <c r="C31" s="214" t="str">
        <f t="shared" si="5"/>
        <v/>
      </c>
      <c r="D31" s="378" t="str">
        <f t="shared" si="6"/>
        <v>?</v>
      </c>
      <c r="E31" s="394" t="str">
        <f t="shared" si="25"/>
        <v>Yes</v>
      </c>
      <c r="F31" s="380" t="str">
        <f t="shared" si="34"/>
        <v>No</v>
      </c>
      <c r="G31" s="380" t="str">
        <f t="shared" si="35"/>
        <v>No</v>
      </c>
      <c r="H31" s="380" t="str">
        <f t="shared" si="36"/>
        <v>No</v>
      </c>
      <c r="I31" s="380" t="str">
        <f t="shared" si="36"/>
        <v>Nein</v>
      </c>
      <c r="J31" s="241">
        <v>0</v>
      </c>
      <c r="K31" s="313">
        <v>0</v>
      </c>
      <c r="L31" s="397">
        <f t="shared" si="26"/>
        <v>0</v>
      </c>
      <c r="M31" s="464">
        <f t="shared" si="8"/>
        <v>0</v>
      </c>
      <c r="N31" s="215">
        <v>1</v>
      </c>
      <c r="O31" s="326">
        <f t="shared" si="27"/>
        <v>0</v>
      </c>
      <c r="P31" s="327">
        <f t="shared" si="28"/>
        <v>0</v>
      </c>
      <c r="Q31" s="397">
        <f t="shared" si="29"/>
        <v>0</v>
      </c>
      <c r="R31" s="464">
        <f t="shared" si="9"/>
        <v>0</v>
      </c>
      <c r="S31" s="328">
        <f t="shared" si="30"/>
        <v>1</v>
      </c>
      <c r="T31" s="326">
        <f t="shared" si="31"/>
        <v>0</v>
      </c>
      <c r="U31" s="327">
        <f t="shared" si="32"/>
        <v>0</v>
      </c>
      <c r="V31" s="397">
        <f t="shared" si="10"/>
        <v>0</v>
      </c>
      <c r="W31" s="464">
        <f t="shared" si="11"/>
        <v>0</v>
      </c>
      <c r="X31" s="332">
        <f t="shared" si="33"/>
        <v>1</v>
      </c>
      <c r="Y31" s="238" t="s">
        <v>45</v>
      </c>
      <c r="Z31" s="67"/>
      <c r="AA31" s="67"/>
      <c r="AB31" s="67"/>
      <c r="AC31" s="67"/>
      <c r="AD31" s="67"/>
      <c r="AE31" s="271" t="str">
        <f t="shared" si="12"/>
        <v>English</v>
      </c>
      <c r="AF31" s="271" t="str">
        <f t="shared" si="13"/>
        <v>English</v>
      </c>
      <c r="AG31" s="271" t="str">
        <f t="shared" si="14"/>
        <v>No</v>
      </c>
      <c r="AH31" s="271" t="str">
        <f t="shared" si="15"/>
        <v>No</v>
      </c>
      <c r="AI31" s="393" t="str">
        <f t="shared" si="16"/>
        <v>No</v>
      </c>
      <c r="AJ31" s="393" t="str">
        <f t="shared" si="17"/>
        <v>No</v>
      </c>
      <c r="AK31" s="393" t="str">
        <f t="shared" si="18"/>
        <v>No</v>
      </c>
      <c r="AL31" s="393" t="str">
        <f t="shared" si="19"/>
        <v>No</v>
      </c>
      <c r="AM31" s="400" t="str">
        <f t="shared" si="20"/>
        <v/>
      </c>
      <c r="AN31" s="401" t="str">
        <f t="shared" si="21"/>
        <v/>
      </c>
      <c r="AO31" s="401" t="str">
        <f t="shared" si="22"/>
        <v/>
      </c>
      <c r="AP31" s="401" t="str">
        <f t="shared" si="23"/>
        <v/>
      </c>
      <c r="AQ31" s="399">
        <f t="shared" si="24"/>
        <v>0</v>
      </c>
    </row>
    <row r="32" spans="1:44" s="138" customFormat="1" ht="12.75" customHeight="1" x14ac:dyDescent="0.2">
      <c r="A32" s="399">
        <v>10</v>
      </c>
      <c r="B32" s="308"/>
      <c r="C32" s="214" t="str">
        <f t="shared" si="5"/>
        <v/>
      </c>
      <c r="D32" s="378" t="str">
        <f t="shared" si="6"/>
        <v>?</v>
      </c>
      <c r="E32" s="394" t="str">
        <f t="shared" si="25"/>
        <v>Yes</v>
      </c>
      <c r="F32" s="380" t="str">
        <f t="shared" si="34"/>
        <v>No</v>
      </c>
      <c r="G32" s="380" t="str">
        <f t="shared" si="35"/>
        <v>No</v>
      </c>
      <c r="H32" s="380" t="str">
        <f t="shared" si="36"/>
        <v>No</v>
      </c>
      <c r="I32" s="380" t="str">
        <f t="shared" si="36"/>
        <v>Nein</v>
      </c>
      <c r="J32" s="241">
        <v>0</v>
      </c>
      <c r="K32" s="313">
        <v>0</v>
      </c>
      <c r="L32" s="397">
        <f t="shared" si="26"/>
        <v>0</v>
      </c>
      <c r="M32" s="464">
        <f t="shared" si="8"/>
        <v>0</v>
      </c>
      <c r="N32" s="215">
        <v>1</v>
      </c>
      <c r="O32" s="326">
        <f t="shared" si="27"/>
        <v>0</v>
      </c>
      <c r="P32" s="327">
        <f t="shared" si="28"/>
        <v>0</v>
      </c>
      <c r="Q32" s="397">
        <f t="shared" si="29"/>
        <v>0</v>
      </c>
      <c r="R32" s="464">
        <f t="shared" si="9"/>
        <v>0</v>
      </c>
      <c r="S32" s="328">
        <f t="shared" si="30"/>
        <v>1</v>
      </c>
      <c r="T32" s="326">
        <f t="shared" si="31"/>
        <v>0</v>
      </c>
      <c r="U32" s="327">
        <f t="shared" si="32"/>
        <v>0</v>
      </c>
      <c r="V32" s="397">
        <f t="shared" si="10"/>
        <v>0</v>
      </c>
      <c r="W32" s="464">
        <f t="shared" si="11"/>
        <v>0</v>
      </c>
      <c r="X32" s="332">
        <f t="shared" si="33"/>
        <v>1</v>
      </c>
      <c r="Y32" s="238" t="s">
        <v>45</v>
      </c>
      <c r="Z32" s="67"/>
      <c r="AA32" s="67"/>
      <c r="AB32" s="67"/>
      <c r="AC32" s="67"/>
      <c r="AD32" s="67"/>
      <c r="AE32" s="271" t="str">
        <f t="shared" si="12"/>
        <v>English</v>
      </c>
      <c r="AF32" s="271" t="str">
        <f t="shared" si="13"/>
        <v>English</v>
      </c>
      <c r="AG32" s="271" t="str">
        <f t="shared" si="14"/>
        <v>No</v>
      </c>
      <c r="AH32" s="271" t="str">
        <f t="shared" si="15"/>
        <v>No</v>
      </c>
      <c r="AI32" s="393" t="str">
        <f t="shared" si="16"/>
        <v>No</v>
      </c>
      <c r="AJ32" s="393" t="str">
        <f t="shared" si="17"/>
        <v>No</v>
      </c>
      <c r="AK32" s="393" t="str">
        <f t="shared" si="18"/>
        <v>No</v>
      </c>
      <c r="AL32" s="393" t="str">
        <f t="shared" si="19"/>
        <v>No</v>
      </c>
      <c r="AM32" s="400" t="str">
        <f t="shared" si="20"/>
        <v/>
      </c>
      <c r="AN32" s="401" t="str">
        <f t="shared" si="21"/>
        <v/>
      </c>
      <c r="AO32" s="401" t="str">
        <f t="shared" si="22"/>
        <v/>
      </c>
      <c r="AP32" s="401" t="str">
        <f t="shared" si="23"/>
        <v/>
      </c>
      <c r="AQ32" s="399">
        <f t="shared" si="24"/>
        <v>0</v>
      </c>
    </row>
    <row r="33" spans="1:43" s="138" customFormat="1" ht="12.75" customHeight="1" x14ac:dyDescent="0.2">
      <c r="A33" s="399">
        <v>11</v>
      </c>
      <c r="B33" s="308"/>
      <c r="C33" s="214" t="str">
        <f t="shared" si="5"/>
        <v/>
      </c>
      <c r="D33" s="378" t="str">
        <f t="shared" si="6"/>
        <v>?</v>
      </c>
      <c r="E33" s="394" t="str">
        <f t="shared" si="25"/>
        <v>Yes</v>
      </c>
      <c r="F33" s="380" t="str">
        <f t="shared" si="34"/>
        <v>No</v>
      </c>
      <c r="G33" s="380" t="str">
        <f t="shared" si="35"/>
        <v>No</v>
      </c>
      <c r="H33" s="380" t="str">
        <f t="shared" si="36"/>
        <v>No</v>
      </c>
      <c r="I33" s="380" t="str">
        <f t="shared" si="36"/>
        <v>Nein</v>
      </c>
      <c r="J33" s="241">
        <v>0</v>
      </c>
      <c r="K33" s="313">
        <v>0</v>
      </c>
      <c r="L33" s="397">
        <f t="shared" si="26"/>
        <v>0</v>
      </c>
      <c r="M33" s="464">
        <f t="shared" si="8"/>
        <v>0</v>
      </c>
      <c r="N33" s="215">
        <v>1</v>
      </c>
      <c r="O33" s="326">
        <f t="shared" si="27"/>
        <v>0</v>
      </c>
      <c r="P33" s="327">
        <f t="shared" si="28"/>
        <v>0</v>
      </c>
      <c r="Q33" s="397">
        <f t="shared" si="29"/>
        <v>0</v>
      </c>
      <c r="R33" s="464">
        <f t="shared" si="9"/>
        <v>0</v>
      </c>
      <c r="S33" s="328">
        <f t="shared" si="30"/>
        <v>1</v>
      </c>
      <c r="T33" s="326">
        <f t="shared" si="31"/>
        <v>0</v>
      </c>
      <c r="U33" s="327">
        <f t="shared" si="32"/>
        <v>0</v>
      </c>
      <c r="V33" s="397">
        <f t="shared" si="10"/>
        <v>0</v>
      </c>
      <c r="W33" s="464">
        <f t="shared" si="11"/>
        <v>0</v>
      </c>
      <c r="X33" s="332">
        <f t="shared" si="33"/>
        <v>1</v>
      </c>
      <c r="Y33" s="238" t="s">
        <v>45</v>
      </c>
      <c r="Z33" s="67"/>
      <c r="AA33" s="67"/>
      <c r="AB33" s="67"/>
      <c r="AC33" s="67"/>
      <c r="AD33" s="67"/>
      <c r="AE33" s="271" t="str">
        <f t="shared" si="12"/>
        <v>English</v>
      </c>
      <c r="AF33" s="271" t="str">
        <f t="shared" si="13"/>
        <v>English</v>
      </c>
      <c r="AG33" s="271" t="str">
        <f t="shared" si="14"/>
        <v>No</v>
      </c>
      <c r="AH33" s="271" t="str">
        <f t="shared" si="15"/>
        <v>No</v>
      </c>
      <c r="AI33" s="393" t="str">
        <f t="shared" si="16"/>
        <v>No</v>
      </c>
      <c r="AJ33" s="393" t="str">
        <f t="shared" si="17"/>
        <v>No</v>
      </c>
      <c r="AK33" s="393" t="str">
        <f t="shared" si="18"/>
        <v>No</v>
      </c>
      <c r="AL33" s="393" t="str">
        <f t="shared" si="19"/>
        <v>No</v>
      </c>
      <c r="AM33" s="400" t="str">
        <f t="shared" si="20"/>
        <v/>
      </c>
      <c r="AN33" s="401" t="str">
        <f t="shared" si="21"/>
        <v/>
      </c>
      <c r="AO33" s="401" t="str">
        <f t="shared" si="22"/>
        <v/>
      </c>
      <c r="AP33" s="401" t="str">
        <f t="shared" si="23"/>
        <v/>
      </c>
      <c r="AQ33" s="399">
        <f t="shared" si="24"/>
        <v>0</v>
      </c>
    </row>
    <row r="34" spans="1:43" s="138" customFormat="1" ht="12.75" customHeight="1" x14ac:dyDescent="0.2">
      <c r="A34" s="399">
        <v>12</v>
      </c>
      <c r="B34" s="308"/>
      <c r="C34" s="214" t="str">
        <f t="shared" si="5"/>
        <v/>
      </c>
      <c r="D34" s="378" t="str">
        <f t="shared" si="6"/>
        <v>?</v>
      </c>
      <c r="E34" s="394" t="str">
        <f t="shared" si="25"/>
        <v>Yes</v>
      </c>
      <c r="F34" s="380" t="str">
        <f t="shared" si="34"/>
        <v>No</v>
      </c>
      <c r="G34" s="380" t="str">
        <f t="shared" si="35"/>
        <v>No</v>
      </c>
      <c r="H34" s="380" t="str">
        <f t="shared" si="36"/>
        <v>No</v>
      </c>
      <c r="I34" s="380" t="str">
        <f t="shared" si="36"/>
        <v>Nein</v>
      </c>
      <c r="J34" s="241">
        <v>0</v>
      </c>
      <c r="K34" s="313">
        <v>0</v>
      </c>
      <c r="L34" s="397">
        <f t="shared" si="26"/>
        <v>0</v>
      </c>
      <c r="M34" s="464">
        <f t="shared" si="8"/>
        <v>0</v>
      </c>
      <c r="N34" s="215">
        <v>1</v>
      </c>
      <c r="O34" s="326">
        <f t="shared" si="27"/>
        <v>0</v>
      </c>
      <c r="P34" s="327">
        <f t="shared" si="28"/>
        <v>0</v>
      </c>
      <c r="Q34" s="397">
        <f t="shared" si="29"/>
        <v>0</v>
      </c>
      <c r="R34" s="464">
        <f t="shared" si="9"/>
        <v>0</v>
      </c>
      <c r="S34" s="328">
        <f t="shared" si="30"/>
        <v>1</v>
      </c>
      <c r="T34" s="326">
        <f t="shared" si="31"/>
        <v>0</v>
      </c>
      <c r="U34" s="327">
        <f t="shared" si="32"/>
        <v>0</v>
      </c>
      <c r="V34" s="397">
        <f t="shared" si="10"/>
        <v>0</v>
      </c>
      <c r="W34" s="464">
        <f t="shared" si="11"/>
        <v>0</v>
      </c>
      <c r="X34" s="332">
        <f t="shared" si="33"/>
        <v>1</v>
      </c>
      <c r="Y34" s="238" t="s">
        <v>45</v>
      </c>
      <c r="Z34" s="67"/>
      <c r="AA34" s="67"/>
      <c r="AB34" s="67"/>
      <c r="AC34" s="67"/>
      <c r="AD34" s="67"/>
      <c r="AE34" s="271" t="str">
        <f t="shared" si="12"/>
        <v>English</v>
      </c>
      <c r="AF34" s="271" t="str">
        <f t="shared" si="13"/>
        <v>English</v>
      </c>
      <c r="AG34" s="271" t="str">
        <f t="shared" si="14"/>
        <v>No</v>
      </c>
      <c r="AH34" s="271" t="str">
        <f t="shared" si="15"/>
        <v>No</v>
      </c>
      <c r="AI34" s="393" t="str">
        <f t="shared" si="16"/>
        <v>No</v>
      </c>
      <c r="AJ34" s="393" t="str">
        <f t="shared" si="17"/>
        <v>No</v>
      </c>
      <c r="AK34" s="393" t="str">
        <f t="shared" si="18"/>
        <v>No</v>
      </c>
      <c r="AL34" s="393" t="str">
        <f t="shared" si="19"/>
        <v>No</v>
      </c>
      <c r="AM34" s="400" t="str">
        <f t="shared" si="20"/>
        <v/>
      </c>
      <c r="AN34" s="401" t="str">
        <f t="shared" si="21"/>
        <v/>
      </c>
      <c r="AO34" s="401" t="str">
        <f t="shared" si="22"/>
        <v/>
      </c>
      <c r="AP34" s="401" t="str">
        <f t="shared" si="23"/>
        <v/>
      </c>
      <c r="AQ34" s="399">
        <f t="shared" si="24"/>
        <v>0</v>
      </c>
    </row>
    <row r="35" spans="1:43" s="138" customFormat="1" ht="12.75" customHeight="1" x14ac:dyDescent="0.2">
      <c r="A35" s="399">
        <v>13</v>
      </c>
      <c r="B35" s="308"/>
      <c r="C35" s="214" t="str">
        <f t="shared" si="5"/>
        <v/>
      </c>
      <c r="D35" s="378" t="str">
        <f t="shared" si="6"/>
        <v>?</v>
      </c>
      <c r="E35" s="394" t="str">
        <f t="shared" si="25"/>
        <v>Yes</v>
      </c>
      <c r="F35" s="380" t="str">
        <f t="shared" si="34"/>
        <v>No</v>
      </c>
      <c r="G35" s="380" t="str">
        <f t="shared" si="35"/>
        <v>No</v>
      </c>
      <c r="H35" s="380" t="str">
        <f t="shared" si="36"/>
        <v>No</v>
      </c>
      <c r="I35" s="380" t="str">
        <f t="shared" si="36"/>
        <v>Nein</v>
      </c>
      <c r="J35" s="241">
        <v>0</v>
      </c>
      <c r="K35" s="313">
        <v>0</v>
      </c>
      <c r="L35" s="397">
        <f t="shared" si="26"/>
        <v>0</v>
      </c>
      <c r="M35" s="464">
        <f t="shared" si="8"/>
        <v>0</v>
      </c>
      <c r="N35" s="215">
        <v>1</v>
      </c>
      <c r="O35" s="326">
        <f t="shared" si="27"/>
        <v>0</v>
      </c>
      <c r="P35" s="327">
        <f t="shared" si="28"/>
        <v>0</v>
      </c>
      <c r="Q35" s="397">
        <f t="shared" si="29"/>
        <v>0</v>
      </c>
      <c r="R35" s="464">
        <f t="shared" si="9"/>
        <v>0</v>
      </c>
      <c r="S35" s="328">
        <f t="shared" si="30"/>
        <v>1</v>
      </c>
      <c r="T35" s="326">
        <f t="shared" si="31"/>
        <v>0</v>
      </c>
      <c r="U35" s="327">
        <f t="shared" si="32"/>
        <v>0</v>
      </c>
      <c r="V35" s="397">
        <f t="shared" si="10"/>
        <v>0</v>
      </c>
      <c r="W35" s="464">
        <f t="shared" si="11"/>
        <v>0</v>
      </c>
      <c r="X35" s="332">
        <f t="shared" si="33"/>
        <v>1</v>
      </c>
      <c r="Y35" s="238" t="s">
        <v>45</v>
      </c>
      <c r="Z35" s="67"/>
      <c r="AA35" s="67"/>
      <c r="AB35" s="67"/>
      <c r="AC35" s="67"/>
      <c r="AD35" s="67"/>
      <c r="AE35" s="271" t="str">
        <f t="shared" si="12"/>
        <v>English</v>
      </c>
      <c r="AF35" s="271" t="str">
        <f t="shared" si="13"/>
        <v>English</v>
      </c>
      <c r="AG35" s="271" t="str">
        <f t="shared" si="14"/>
        <v>No</v>
      </c>
      <c r="AH35" s="271" t="str">
        <f t="shared" si="15"/>
        <v>No</v>
      </c>
      <c r="AI35" s="393" t="str">
        <f t="shared" si="16"/>
        <v>No</v>
      </c>
      <c r="AJ35" s="393" t="str">
        <f t="shared" si="17"/>
        <v>No</v>
      </c>
      <c r="AK35" s="393" t="str">
        <f t="shared" si="18"/>
        <v>No</v>
      </c>
      <c r="AL35" s="393" t="str">
        <f t="shared" si="19"/>
        <v>No</v>
      </c>
      <c r="AM35" s="400" t="str">
        <f t="shared" si="20"/>
        <v/>
      </c>
      <c r="AN35" s="401" t="str">
        <f t="shared" si="21"/>
        <v/>
      </c>
      <c r="AO35" s="401" t="str">
        <f t="shared" si="22"/>
        <v/>
      </c>
      <c r="AP35" s="401" t="str">
        <f t="shared" si="23"/>
        <v/>
      </c>
      <c r="AQ35" s="399">
        <f t="shared" si="24"/>
        <v>0</v>
      </c>
    </row>
    <row r="36" spans="1:43" s="138" customFormat="1" ht="12.75" customHeight="1" x14ac:dyDescent="0.2">
      <c r="A36" s="399">
        <v>14</v>
      </c>
      <c r="B36" s="308"/>
      <c r="C36" s="214" t="str">
        <f t="shared" si="5"/>
        <v/>
      </c>
      <c r="D36" s="378" t="str">
        <f t="shared" si="6"/>
        <v>?</v>
      </c>
      <c r="E36" s="394" t="str">
        <f t="shared" si="25"/>
        <v>Yes</v>
      </c>
      <c r="F36" s="380" t="str">
        <f t="shared" si="34"/>
        <v>No</v>
      </c>
      <c r="G36" s="380" t="str">
        <f t="shared" si="35"/>
        <v>No</v>
      </c>
      <c r="H36" s="380" t="str">
        <f t="shared" si="36"/>
        <v>No</v>
      </c>
      <c r="I36" s="380" t="str">
        <f t="shared" si="36"/>
        <v>Nein</v>
      </c>
      <c r="J36" s="241">
        <v>0</v>
      </c>
      <c r="K36" s="313">
        <v>0</v>
      </c>
      <c r="L36" s="397">
        <f t="shared" si="26"/>
        <v>0</v>
      </c>
      <c r="M36" s="464">
        <f t="shared" si="8"/>
        <v>0</v>
      </c>
      <c r="N36" s="215">
        <v>1</v>
      </c>
      <c r="O36" s="326">
        <f t="shared" si="27"/>
        <v>0</v>
      </c>
      <c r="P36" s="327">
        <f t="shared" si="28"/>
        <v>0</v>
      </c>
      <c r="Q36" s="397">
        <f t="shared" si="29"/>
        <v>0</v>
      </c>
      <c r="R36" s="464">
        <f t="shared" si="9"/>
        <v>0</v>
      </c>
      <c r="S36" s="328">
        <f t="shared" si="30"/>
        <v>1</v>
      </c>
      <c r="T36" s="326">
        <f t="shared" si="31"/>
        <v>0</v>
      </c>
      <c r="U36" s="327">
        <f t="shared" si="32"/>
        <v>0</v>
      </c>
      <c r="V36" s="397">
        <f t="shared" si="10"/>
        <v>0</v>
      </c>
      <c r="W36" s="464">
        <f t="shared" si="11"/>
        <v>0</v>
      </c>
      <c r="X36" s="332">
        <f t="shared" si="33"/>
        <v>1</v>
      </c>
      <c r="Y36" s="238" t="s">
        <v>45</v>
      </c>
      <c r="Z36" s="67"/>
      <c r="AA36" s="67"/>
      <c r="AB36" s="67"/>
      <c r="AC36" s="67"/>
      <c r="AD36" s="67"/>
      <c r="AE36" s="271" t="str">
        <f t="shared" si="12"/>
        <v>English</v>
      </c>
      <c r="AF36" s="271" t="str">
        <f t="shared" si="13"/>
        <v>English</v>
      </c>
      <c r="AG36" s="271" t="str">
        <f t="shared" si="14"/>
        <v>No</v>
      </c>
      <c r="AH36" s="271" t="str">
        <f t="shared" si="15"/>
        <v>No</v>
      </c>
      <c r="AI36" s="393" t="str">
        <f t="shared" si="16"/>
        <v>No</v>
      </c>
      <c r="AJ36" s="393" t="str">
        <f t="shared" si="17"/>
        <v>No</v>
      </c>
      <c r="AK36" s="393" t="str">
        <f t="shared" si="18"/>
        <v>No</v>
      </c>
      <c r="AL36" s="393" t="str">
        <f t="shared" si="19"/>
        <v>No</v>
      </c>
      <c r="AM36" s="400" t="str">
        <f t="shared" si="20"/>
        <v/>
      </c>
      <c r="AN36" s="401" t="str">
        <f t="shared" si="21"/>
        <v/>
      </c>
      <c r="AO36" s="401" t="str">
        <f t="shared" si="22"/>
        <v/>
      </c>
      <c r="AP36" s="401" t="str">
        <f t="shared" si="23"/>
        <v/>
      </c>
      <c r="AQ36" s="399">
        <f t="shared" si="24"/>
        <v>0</v>
      </c>
    </row>
    <row r="37" spans="1:43" s="138" customFormat="1" ht="12.75" customHeight="1" x14ac:dyDescent="0.2">
      <c r="A37" s="399">
        <v>15</v>
      </c>
      <c r="B37" s="308"/>
      <c r="C37" s="214" t="str">
        <f t="shared" si="5"/>
        <v/>
      </c>
      <c r="D37" s="378" t="str">
        <f t="shared" si="6"/>
        <v>?</v>
      </c>
      <c r="E37" s="394" t="str">
        <f t="shared" si="25"/>
        <v>Yes</v>
      </c>
      <c r="F37" s="380" t="str">
        <f t="shared" si="34"/>
        <v>No</v>
      </c>
      <c r="G37" s="380" t="str">
        <f t="shared" si="35"/>
        <v>No</v>
      </c>
      <c r="H37" s="380" t="str">
        <f t="shared" si="36"/>
        <v>No</v>
      </c>
      <c r="I37" s="380" t="str">
        <f t="shared" si="36"/>
        <v>Nein</v>
      </c>
      <c r="J37" s="241">
        <v>0</v>
      </c>
      <c r="K37" s="313">
        <v>0</v>
      </c>
      <c r="L37" s="397">
        <f t="shared" si="26"/>
        <v>0</v>
      </c>
      <c r="M37" s="464">
        <f t="shared" si="8"/>
        <v>0</v>
      </c>
      <c r="N37" s="215">
        <v>1</v>
      </c>
      <c r="O37" s="326">
        <f t="shared" si="27"/>
        <v>0</v>
      </c>
      <c r="P37" s="327">
        <f t="shared" si="28"/>
        <v>0</v>
      </c>
      <c r="Q37" s="397">
        <f t="shared" si="29"/>
        <v>0</v>
      </c>
      <c r="R37" s="464">
        <f t="shared" si="9"/>
        <v>0</v>
      </c>
      <c r="S37" s="328">
        <f t="shared" si="30"/>
        <v>1</v>
      </c>
      <c r="T37" s="326">
        <f t="shared" si="31"/>
        <v>0</v>
      </c>
      <c r="U37" s="327">
        <f t="shared" si="32"/>
        <v>0</v>
      </c>
      <c r="V37" s="397">
        <f t="shared" si="10"/>
        <v>0</v>
      </c>
      <c r="W37" s="464">
        <f t="shared" si="11"/>
        <v>0</v>
      </c>
      <c r="X37" s="332">
        <f t="shared" si="33"/>
        <v>1</v>
      </c>
      <c r="Y37" s="238" t="s">
        <v>45</v>
      </c>
      <c r="Z37" s="67"/>
      <c r="AA37" s="67"/>
      <c r="AB37" s="67"/>
      <c r="AC37" s="67"/>
      <c r="AD37" s="67"/>
      <c r="AE37" s="271" t="str">
        <f t="shared" si="12"/>
        <v>English</v>
      </c>
      <c r="AF37" s="271" t="str">
        <f t="shared" si="13"/>
        <v>English</v>
      </c>
      <c r="AG37" s="271" t="str">
        <f t="shared" si="14"/>
        <v>No</v>
      </c>
      <c r="AH37" s="271" t="str">
        <f t="shared" si="15"/>
        <v>No</v>
      </c>
      <c r="AI37" s="393" t="str">
        <f t="shared" si="16"/>
        <v>No</v>
      </c>
      <c r="AJ37" s="393" t="str">
        <f t="shared" si="17"/>
        <v>No</v>
      </c>
      <c r="AK37" s="393" t="str">
        <f t="shared" si="18"/>
        <v>No</v>
      </c>
      <c r="AL37" s="393" t="str">
        <f t="shared" si="19"/>
        <v>No</v>
      </c>
      <c r="AM37" s="400" t="str">
        <f t="shared" si="20"/>
        <v/>
      </c>
      <c r="AN37" s="401" t="str">
        <f t="shared" si="21"/>
        <v/>
      </c>
      <c r="AO37" s="401" t="str">
        <f t="shared" si="22"/>
        <v/>
      </c>
      <c r="AP37" s="401" t="str">
        <f t="shared" si="23"/>
        <v/>
      </c>
      <c r="AQ37" s="399">
        <f t="shared" si="24"/>
        <v>0</v>
      </c>
    </row>
    <row r="38" spans="1:43" s="138" customFormat="1" ht="12.75" customHeight="1" x14ac:dyDescent="0.2">
      <c r="A38" s="399">
        <v>16</v>
      </c>
      <c r="B38" s="308"/>
      <c r="C38" s="214" t="str">
        <f t="shared" si="5"/>
        <v/>
      </c>
      <c r="D38" s="378" t="str">
        <f t="shared" si="6"/>
        <v>?</v>
      </c>
      <c r="E38" s="394" t="str">
        <f t="shared" si="25"/>
        <v>Yes</v>
      </c>
      <c r="F38" s="380" t="str">
        <f t="shared" si="34"/>
        <v>No</v>
      </c>
      <c r="G38" s="380" t="str">
        <f t="shared" si="35"/>
        <v>No</v>
      </c>
      <c r="H38" s="380" t="str">
        <f t="shared" si="36"/>
        <v>No</v>
      </c>
      <c r="I38" s="380" t="str">
        <f t="shared" si="36"/>
        <v>Nein</v>
      </c>
      <c r="J38" s="241">
        <v>0</v>
      </c>
      <c r="K38" s="313">
        <v>0</v>
      </c>
      <c r="L38" s="397">
        <f t="shared" si="26"/>
        <v>0</v>
      </c>
      <c r="M38" s="464">
        <f t="shared" si="8"/>
        <v>0</v>
      </c>
      <c r="N38" s="215">
        <v>1</v>
      </c>
      <c r="O38" s="326">
        <f t="shared" si="27"/>
        <v>0</v>
      </c>
      <c r="P38" s="327">
        <f t="shared" si="28"/>
        <v>0</v>
      </c>
      <c r="Q38" s="397">
        <f t="shared" si="29"/>
        <v>0</v>
      </c>
      <c r="R38" s="464">
        <f t="shared" si="9"/>
        <v>0</v>
      </c>
      <c r="S38" s="328">
        <f t="shared" si="30"/>
        <v>1</v>
      </c>
      <c r="T38" s="326">
        <f t="shared" si="31"/>
        <v>0</v>
      </c>
      <c r="U38" s="327">
        <f t="shared" si="32"/>
        <v>0</v>
      </c>
      <c r="V38" s="397">
        <f t="shared" si="10"/>
        <v>0</v>
      </c>
      <c r="W38" s="464">
        <f t="shared" si="11"/>
        <v>0</v>
      </c>
      <c r="X38" s="332">
        <f t="shared" si="33"/>
        <v>1</v>
      </c>
      <c r="Y38" s="238" t="s">
        <v>45</v>
      </c>
      <c r="Z38" s="67"/>
      <c r="AA38" s="67"/>
      <c r="AB38" s="67"/>
      <c r="AC38" s="67"/>
      <c r="AD38" s="67"/>
      <c r="AE38" s="271" t="str">
        <f t="shared" si="12"/>
        <v>English</v>
      </c>
      <c r="AF38" s="271" t="str">
        <f t="shared" si="13"/>
        <v>English</v>
      </c>
      <c r="AG38" s="271" t="str">
        <f t="shared" si="14"/>
        <v>No</v>
      </c>
      <c r="AH38" s="271" t="str">
        <f t="shared" si="15"/>
        <v>No</v>
      </c>
      <c r="AI38" s="393" t="str">
        <f t="shared" si="16"/>
        <v>No</v>
      </c>
      <c r="AJ38" s="393" t="str">
        <f t="shared" si="17"/>
        <v>No</v>
      </c>
      <c r="AK38" s="393" t="str">
        <f t="shared" si="18"/>
        <v>No</v>
      </c>
      <c r="AL38" s="393" t="str">
        <f t="shared" si="19"/>
        <v>No</v>
      </c>
      <c r="AM38" s="400" t="str">
        <f t="shared" si="20"/>
        <v/>
      </c>
      <c r="AN38" s="401" t="str">
        <f t="shared" si="21"/>
        <v/>
      </c>
      <c r="AO38" s="401" t="str">
        <f t="shared" si="22"/>
        <v/>
      </c>
      <c r="AP38" s="401" t="str">
        <f t="shared" si="23"/>
        <v/>
      </c>
      <c r="AQ38" s="399">
        <f t="shared" si="24"/>
        <v>0</v>
      </c>
    </row>
    <row r="39" spans="1:43" s="138" customFormat="1" ht="12.75" customHeight="1" x14ac:dyDescent="0.2">
      <c r="A39" s="399">
        <v>17</v>
      </c>
      <c r="B39" s="308"/>
      <c r="C39" s="214" t="str">
        <f t="shared" si="5"/>
        <v/>
      </c>
      <c r="D39" s="378" t="str">
        <f t="shared" si="6"/>
        <v>?</v>
      </c>
      <c r="E39" s="394" t="str">
        <f t="shared" si="25"/>
        <v>Yes</v>
      </c>
      <c r="F39" s="380" t="str">
        <f t="shared" si="34"/>
        <v>No</v>
      </c>
      <c r="G39" s="380" t="str">
        <f t="shared" si="35"/>
        <v>No</v>
      </c>
      <c r="H39" s="380" t="str">
        <f t="shared" si="36"/>
        <v>No</v>
      </c>
      <c r="I39" s="380" t="str">
        <f t="shared" si="36"/>
        <v>Nein</v>
      </c>
      <c r="J39" s="241">
        <v>0</v>
      </c>
      <c r="K39" s="313">
        <v>0</v>
      </c>
      <c r="L39" s="397">
        <f t="shared" si="26"/>
        <v>0</v>
      </c>
      <c r="M39" s="464">
        <f t="shared" si="8"/>
        <v>0</v>
      </c>
      <c r="N39" s="215">
        <v>1</v>
      </c>
      <c r="O39" s="326">
        <f t="shared" si="27"/>
        <v>0</v>
      </c>
      <c r="P39" s="327">
        <f t="shared" si="28"/>
        <v>0</v>
      </c>
      <c r="Q39" s="397">
        <f t="shared" si="29"/>
        <v>0</v>
      </c>
      <c r="R39" s="464">
        <f t="shared" si="9"/>
        <v>0</v>
      </c>
      <c r="S39" s="328">
        <f t="shared" si="30"/>
        <v>1</v>
      </c>
      <c r="T39" s="326">
        <f t="shared" si="31"/>
        <v>0</v>
      </c>
      <c r="U39" s="327">
        <f t="shared" si="32"/>
        <v>0</v>
      </c>
      <c r="V39" s="397">
        <f t="shared" si="10"/>
        <v>0</v>
      </c>
      <c r="W39" s="464">
        <f t="shared" si="11"/>
        <v>0</v>
      </c>
      <c r="X39" s="332">
        <f t="shared" si="33"/>
        <v>1</v>
      </c>
      <c r="Y39" s="238" t="s">
        <v>45</v>
      </c>
      <c r="Z39" s="67"/>
      <c r="AA39" s="67"/>
      <c r="AB39" s="67"/>
      <c r="AC39" s="67"/>
      <c r="AD39" s="67"/>
      <c r="AE39" s="271" t="str">
        <f t="shared" si="12"/>
        <v>English</v>
      </c>
      <c r="AF39" s="271" t="str">
        <f t="shared" si="13"/>
        <v>English</v>
      </c>
      <c r="AG39" s="271" t="str">
        <f t="shared" si="14"/>
        <v>No</v>
      </c>
      <c r="AH39" s="271" t="str">
        <f t="shared" si="15"/>
        <v>No</v>
      </c>
      <c r="AI39" s="393" t="str">
        <f t="shared" si="16"/>
        <v>No</v>
      </c>
      <c r="AJ39" s="393" t="str">
        <f t="shared" si="17"/>
        <v>No</v>
      </c>
      <c r="AK39" s="393" t="str">
        <f t="shared" si="18"/>
        <v>No</v>
      </c>
      <c r="AL39" s="393" t="str">
        <f t="shared" si="19"/>
        <v>No</v>
      </c>
      <c r="AM39" s="400" t="str">
        <f t="shared" si="20"/>
        <v/>
      </c>
      <c r="AN39" s="401" t="str">
        <f t="shared" si="21"/>
        <v/>
      </c>
      <c r="AO39" s="401" t="str">
        <f t="shared" si="22"/>
        <v/>
      </c>
      <c r="AP39" s="401" t="str">
        <f t="shared" si="23"/>
        <v/>
      </c>
      <c r="AQ39" s="399">
        <f t="shared" si="24"/>
        <v>0</v>
      </c>
    </row>
    <row r="40" spans="1:43" s="138" customFormat="1" ht="12.75" customHeight="1" x14ac:dyDescent="0.2">
      <c r="A40" s="399">
        <v>18</v>
      </c>
      <c r="B40" s="308"/>
      <c r="C40" s="214" t="str">
        <f t="shared" si="5"/>
        <v/>
      </c>
      <c r="D40" s="378" t="str">
        <f t="shared" si="6"/>
        <v>?</v>
      </c>
      <c r="E40" s="394" t="str">
        <f t="shared" si="25"/>
        <v>Yes</v>
      </c>
      <c r="F40" s="380" t="str">
        <f t="shared" si="34"/>
        <v>No</v>
      </c>
      <c r="G40" s="380" t="str">
        <f t="shared" si="35"/>
        <v>No</v>
      </c>
      <c r="H40" s="380" t="str">
        <f t="shared" si="36"/>
        <v>No</v>
      </c>
      <c r="I40" s="380" t="str">
        <f t="shared" si="36"/>
        <v>Nein</v>
      </c>
      <c r="J40" s="241">
        <v>0</v>
      </c>
      <c r="K40" s="313">
        <v>0</v>
      </c>
      <c r="L40" s="397">
        <f t="shared" si="26"/>
        <v>0</v>
      </c>
      <c r="M40" s="464">
        <f t="shared" si="8"/>
        <v>0</v>
      </c>
      <c r="N40" s="215">
        <v>1</v>
      </c>
      <c r="O40" s="326">
        <f t="shared" si="27"/>
        <v>0</v>
      </c>
      <c r="P40" s="327">
        <f t="shared" si="28"/>
        <v>0</v>
      </c>
      <c r="Q40" s="397">
        <f t="shared" si="29"/>
        <v>0</v>
      </c>
      <c r="R40" s="464">
        <f t="shared" si="9"/>
        <v>0</v>
      </c>
      <c r="S40" s="328">
        <f t="shared" si="30"/>
        <v>1</v>
      </c>
      <c r="T40" s="326">
        <f t="shared" si="31"/>
        <v>0</v>
      </c>
      <c r="U40" s="327">
        <f t="shared" si="32"/>
        <v>0</v>
      </c>
      <c r="V40" s="397">
        <f t="shared" si="10"/>
        <v>0</v>
      </c>
      <c r="W40" s="464">
        <f t="shared" si="11"/>
        <v>0</v>
      </c>
      <c r="X40" s="332">
        <f t="shared" si="33"/>
        <v>1</v>
      </c>
      <c r="Y40" s="238" t="s">
        <v>45</v>
      </c>
      <c r="Z40" s="67"/>
      <c r="AA40" s="67"/>
      <c r="AB40" s="67"/>
      <c r="AC40" s="67"/>
      <c r="AD40" s="67"/>
      <c r="AE40" s="271" t="str">
        <f t="shared" si="12"/>
        <v>English</v>
      </c>
      <c r="AF40" s="271" t="str">
        <f t="shared" si="13"/>
        <v>English</v>
      </c>
      <c r="AG40" s="271" t="str">
        <f t="shared" si="14"/>
        <v>No</v>
      </c>
      <c r="AH40" s="271" t="str">
        <f t="shared" si="15"/>
        <v>No</v>
      </c>
      <c r="AI40" s="393" t="str">
        <f t="shared" si="16"/>
        <v>No</v>
      </c>
      <c r="AJ40" s="393" t="str">
        <f t="shared" si="17"/>
        <v>No</v>
      </c>
      <c r="AK40" s="393" t="str">
        <f t="shared" si="18"/>
        <v>No</v>
      </c>
      <c r="AL40" s="393" t="str">
        <f t="shared" si="19"/>
        <v>No</v>
      </c>
      <c r="AM40" s="400" t="str">
        <f t="shared" si="20"/>
        <v/>
      </c>
      <c r="AN40" s="401" t="str">
        <f t="shared" si="21"/>
        <v/>
      </c>
      <c r="AO40" s="401" t="str">
        <f t="shared" si="22"/>
        <v/>
      </c>
      <c r="AP40" s="401" t="str">
        <f t="shared" si="23"/>
        <v/>
      </c>
      <c r="AQ40" s="399">
        <f t="shared" si="24"/>
        <v>0</v>
      </c>
    </row>
    <row r="41" spans="1:43" s="138" customFormat="1" ht="12.75" customHeight="1" x14ac:dyDescent="0.2">
      <c r="A41" s="399">
        <v>19</v>
      </c>
      <c r="B41" s="308"/>
      <c r="C41" s="214" t="str">
        <f t="shared" si="5"/>
        <v/>
      </c>
      <c r="D41" s="378" t="str">
        <f t="shared" si="6"/>
        <v>?</v>
      </c>
      <c r="E41" s="394" t="str">
        <f t="shared" si="25"/>
        <v>Yes</v>
      </c>
      <c r="F41" s="380" t="str">
        <f t="shared" si="34"/>
        <v>No</v>
      </c>
      <c r="G41" s="380" t="str">
        <f t="shared" si="35"/>
        <v>No</v>
      </c>
      <c r="H41" s="380" t="str">
        <f t="shared" si="36"/>
        <v>No</v>
      </c>
      <c r="I41" s="380" t="str">
        <f t="shared" si="36"/>
        <v>Nein</v>
      </c>
      <c r="J41" s="241">
        <v>0</v>
      </c>
      <c r="K41" s="313">
        <v>0</v>
      </c>
      <c r="L41" s="397">
        <f t="shared" si="26"/>
        <v>0</v>
      </c>
      <c r="M41" s="464">
        <f t="shared" si="8"/>
        <v>0</v>
      </c>
      <c r="N41" s="215">
        <v>1</v>
      </c>
      <c r="O41" s="326">
        <f t="shared" si="27"/>
        <v>0</v>
      </c>
      <c r="P41" s="327">
        <f t="shared" si="28"/>
        <v>0</v>
      </c>
      <c r="Q41" s="397">
        <f t="shared" si="29"/>
        <v>0</v>
      </c>
      <c r="R41" s="464">
        <f t="shared" si="9"/>
        <v>0</v>
      </c>
      <c r="S41" s="328">
        <f t="shared" si="30"/>
        <v>1</v>
      </c>
      <c r="T41" s="326">
        <f t="shared" si="31"/>
        <v>0</v>
      </c>
      <c r="U41" s="327">
        <f t="shared" si="32"/>
        <v>0</v>
      </c>
      <c r="V41" s="397">
        <f t="shared" si="10"/>
        <v>0</v>
      </c>
      <c r="W41" s="464">
        <f t="shared" si="11"/>
        <v>0</v>
      </c>
      <c r="X41" s="332">
        <f t="shared" si="33"/>
        <v>1</v>
      </c>
      <c r="Y41" s="238" t="s">
        <v>45</v>
      </c>
      <c r="Z41" s="67"/>
      <c r="AA41" s="67"/>
      <c r="AB41" s="67"/>
      <c r="AC41" s="67"/>
      <c r="AD41" s="67"/>
      <c r="AE41" s="271" t="str">
        <f t="shared" si="12"/>
        <v>English</v>
      </c>
      <c r="AF41" s="271" t="str">
        <f t="shared" si="13"/>
        <v>English</v>
      </c>
      <c r="AG41" s="271" t="str">
        <f t="shared" si="14"/>
        <v>No</v>
      </c>
      <c r="AH41" s="271" t="str">
        <f t="shared" si="15"/>
        <v>No</v>
      </c>
      <c r="AI41" s="393" t="str">
        <f t="shared" si="16"/>
        <v>No</v>
      </c>
      <c r="AJ41" s="393" t="str">
        <f t="shared" si="17"/>
        <v>No</v>
      </c>
      <c r="AK41" s="393" t="str">
        <f t="shared" si="18"/>
        <v>No</v>
      </c>
      <c r="AL41" s="393" t="str">
        <f t="shared" si="19"/>
        <v>No</v>
      </c>
      <c r="AM41" s="400" t="str">
        <f t="shared" si="20"/>
        <v/>
      </c>
      <c r="AN41" s="401" t="str">
        <f t="shared" si="21"/>
        <v/>
      </c>
      <c r="AO41" s="401" t="str">
        <f t="shared" si="22"/>
        <v/>
      </c>
      <c r="AP41" s="401" t="str">
        <f t="shared" si="23"/>
        <v/>
      </c>
      <c r="AQ41" s="399">
        <f t="shared" si="24"/>
        <v>0</v>
      </c>
    </row>
    <row r="42" spans="1:43" s="138" customFormat="1" ht="12.75" customHeight="1" x14ac:dyDescent="0.2">
      <c r="A42" s="399">
        <v>20</v>
      </c>
      <c r="B42" s="308"/>
      <c r="C42" s="214" t="str">
        <f t="shared" si="5"/>
        <v/>
      </c>
      <c r="D42" s="378" t="str">
        <f t="shared" si="6"/>
        <v>?</v>
      </c>
      <c r="E42" s="394" t="str">
        <f t="shared" si="25"/>
        <v>Yes</v>
      </c>
      <c r="F42" s="380" t="str">
        <f t="shared" si="34"/>
        <v>No</v>
      </c>
      <c r="G42" s="380" t="str">
        <f t="shared" si="35"/>
        <v>No</v>
      </c>
      <c r="H42" s="380" t="str">
        <f t="shared" si="36"/>
        <v>No</v>
      </c>
      <c r="I42" s="380" t="str">
        <f t="shared" si="36"/>
        <v>Nein</v>
      </c>
      <c r="J42" s="241">
        <v>0</v>
      </c>
      <c r="K42" s="313">
        <v>0</v>
      </c>
      <c r="L42" s="397">
        <f t="shared" si="26"/>
        <v>0</v>
      </c>
      <c r="M42" s="464">
        <f t="shared" si="8"/>
        <v>0</v>
      </c>
      <c r="N42" s="215">
        <v>1</v>
      </c>
      <c r="O42" s="326">
        <f t="shared" si="27"/>
        <v>0</v>
      </c>
      <c r="P42" s="327">
        <f t="shared" si="28"/>
        <v>0</v>
      </c>
      <c r="Q42" s="397">
        <f t="shared" si="29"/>
        <v>0</v>
      </c>
      <c r="R42" s="464">
        <f t="shared" si="9"/>
        <v>0</v>
      </c>
      <c r="S42" s="328">
        <f t="shared" si="30"/>
        <v>1</v>
      </c>
      <c r="T42" s="326">
        <f t="shared" si="31"/>
        <v>0</v>
      </c>
      <c r="U42" s="327">
        <f t="shared" si="32"/>
        <v>0</v>
      </c>
      <c r="V42" s="397">
        <f t="shared" si="10"/>
        <v>0</v>
      </c>
      <c r="W42" s="464">
        <f t="shared" si="11"/>
        <v>0</v>
      </c>
      <c r="X42" s="332">
        <f t="shared" si="33"/>
        <v>1</v>
      </c>
      <c r="Y42" s="238" t="s">
        <v>45</v>
      </c>
      <c r="Z42" s="67"/>
      <c r="AA42" s="67"/>
      <c r="AB42" s="67"/>
      <c r="AC42" s="67"/>
      <c r="AD42" s="67"/>
      <c r="AE42" s="271" t="str">
        <f t="shared" si="12"/>
        <v>English</v>
      </c>
      <c r="AF42" s="271" t="str">
        <f t="shared" si="13"/>
        <v>English</v>
      </c>
      <c r="AG42" s="271" t="str">
        <f t="shared" si="14"/>
        <v>No</v>
      </c>
      <c r="AH42" s="271" t="str">
        <f t="shared" si="15"/>
        <v>No</v>
      </c>
      <c r="AI42" s="393" t="str">
        <f t="shared" si="16"/>
        <v>No</v>
      </c>
      <c r="AJ42" s="393" t="str">
        <f t="shared" si="17"/>
        <v>No</v>
      </c>
      <c r="AK42" s="393" t="str">
        <f t="shared" si="18"/>
        <v>No</v>
      </c>
      <c r="AL42" s="393" t="str">
        <f t="shared" si="19"/>
        <v>No</v>
      </c>
      <c r="AM42" s="400" t="str">
        <f t="shared" si="20"/>
        <v/>
      </c>
      <c r="AN42" s="401" t="str">
        <f t="shared" si="21"/>
        <v/>
      </c>
      <c r="AO42" s="401" t="str">
        <f t="shared" si="22"/>
        <v/>
      </c>
      <c r="AP42" s="401" t="str">
        <f t="shared" si="23"/>
        <v/>
      </c>
      <c r="AQ42" s="399">
        <f t="shared" si="24"/>
        <v>0</v>
      </c>
    </row>
    <row r="43" spans="1:43" s="138" customFormat="1" ht="12.75" customHeight="1" x14ac:dyDescent="0.2">
      <c r="A43" s="399">
        <v>21</v>
      </c>
      <c r="B43" s="308"/>
      <c r="C43" s="214" t="str">
        <f t="shared" si="5"/>
        <v/>
      </c>
      <c r="D43" s="378" t="str">
        <f t="shared" si="6"/>
        <v>?</v>
      </c>
      <c r="E43" s="394" t="str">
        <f t="shared" si="25"/>
        <v>Yes</v>
      </c>
      <c r="F43" s="380" t="str">
        <f t="shared" si="34"/>
        <v>No</v>
      </c>
      <c r="G43" s="380" t="str">
        <f t="shared" si="35"/>
        <v>No</v>
      </c>
      <c r="H43" s="380" t="str">
        <f t="shared" si="36"/>
        <v>No</v>
      </c>
      <c r="I43" s="380" t="str">
        <f t="shared" si="36"/>
        <v>Nein</v>
      </c>
      <c r="J43" s="241">
        <v>0</v>
      </c>
      <c r="K43" s="313">
        <v>0</v>
      </c>
      <c r="L43" s="397">
        <f t="shared" si="26"/>
        <v>0</v>
      </c>
      <c r="M43" s="464">
        <f t="shared" si="8"/>
        <v>0</v>
      </c>
      <c r="N43" s="215">
        <v>1</v>
      </c>
      <c r="O43" s="326">
        <f t="shared" si="27"/>
        <v>0</v>
      </c>
      <c r="P43" s="327">
        <f t="shared" si="28"/>
        <v>0</v>
      </c>
      <c r="Q43" s="397">
        <f t="shared" si="29"/>
        <v>0</v>
      </c>
      <c r="R43" s="464">
        <f t="shared" si="9"/>
        <v>0</v>
      </c>
      <c r="S43" s="328">
        <f t="shared" si="30"/>
        <v>1</v>
      </c>
      <c r="T43" s="326">
        <f t="shared" si="31"/>
        <v>0</v>
      </c>
      <c r="U43" s="327">
        <f t="shared" si="32"/>
        <v>0</v>
      </c>
      <c r="V43" s="397">
        <f t="shared" si="10"/>
        <v>0</v>
      </c>
      <c r="W43" s="464">
        <f t="shared" si="11"/>
        <v>0</v>
      </c>
      <c r="X43" s="332">
        <f t="shared" si="33"/>
        <v>1</v>
      </c>
      <c r="Y43" s="238" t="s">
        <v>45</v>
      </c>
      <c r="Z43" s="67"/>
      <c r="AA43" s="67"/>
      <c r="AB43" s="67"/>
      <c r="AC43" s="67"/>
      <c r="AD43" s="67"/>
      <c r="AE43" s="271" t="str">
        <f t="shared" si="12"/>
        <v>English</v>
      </c>
      <c r="AF43" s="271" t="str">
        <f t="shared" si="13"/>
        <v>English</v>
      </c>
      <c r="AG43" s="271" t="str">
        <f t="shared" si="14"/>
        <v>No</v>
      </c>
      <c r="AH43" s="271" t="str">
        <f t="shared" si="15"/>
        <v>No</v>
      </c>
      <c r="AI43" s="393" t="str">
        <f t="shared" si="16"/>
        <v>No</v>
      </c>
      <c r="AJ43" s="393" t="str">
        <f t="shared" si="17"/>
        <v>No</v>
      </c>
      <c r="AK43" s="393" t="str">
        <f t="shared" si="18"/>
        <v>No</v>
      </c>
      <c r="AL43" s="393" t="str">
        <f t="shared" si="19"/>
        <v>No</v>
      </c>
      <c r="AM43" s="400" t="str">
        <f t="shared" si="20"/>
        <v/>
      </c>
      <c r="AN43" s="401" t="str">
        <f t="shared" si="21"/>
        <v/>
      </c>
      <c r="AO43" s="401" t="str">
        <f t="shared" si="22"/>
        <v/>
      </c>
      <c r="AP43" s="401" t="str">
        <f t="shared" si="23"/>
        <v/>
      </c>
      <c r="AQ43" s="399">
        <f t="shared" si="24"/>
        <v>0</v>
      </c>
    </row>
    <row r="44" spans="1:43" s="138" customFormat="1" ht="12.75" customHeight="1" x14ac:dyDescent="0.2">
      <c r="A44" s="399">
        <v>22</v>
      </c>
      <c r="B44" s="308"/>
      <c r="C44" s="214" t="str">
        <f t="shared" si="5"/>
        <v/>
      </c>
      <c r="D44" s="378" t="str">
        <f t="shared" si="6"/>
        <v>?</v>
      </c>
      <c r="E44" s="394" t="str">
        <f t="shared" si="25"/>
        <v>Yes</v>
      </c>
      <c r="F44" s="380" t="str">
        <f t="shared" si="34"/>
        <v>No</v>
      </c>
      <c r="G44" s="380" t="str">
        <f t="shared" si="35"/>
        <v>No</v>
      </c>
      <c r="H44" s="380" t="str">
        <f t="shared" si="36"/>
        <v>No</v>
      </c>
      <c r="I44" s="380" t="str">
        <f t="shared" si="36"/>
        <v>Nein</v>
      </c>
      <c r="J44" s="241">
        <v>0</v>
      </c>
      <c r="K44" s="313">
        <v>0</v>
      </c>
      <c r="L44" s="397">
        <f t="shared" si="26"/>
        <v>0</v>
      </c>
      <c r="M44" s="464">
        <f t="shared" si="8"/>
        <v>0</v>
      </c>
      <c r="N44" s="215">
        <v>1</v>
      </c>
      <c r="O44" s="326">
        <f t="shared" si="27"/>
        <v>0</v>
      </c>
      <c r="P44" s="327">
        <f t="shared" si="28"/>
        <v>0</v>
      </c>
      <c r="Q44" s="397">
        <f t="shared" si="29"/>
        <v>0</v>
      </c>
      <c r="R44" s="464">
        <f t="shared" si="9"/>
        <v>0</v>
      </c>
      <c r="S44" s="328">
        <f t="shared" si="30"/>
        <v>1</v>
      </c>
      <c r="T44" s="326">
        <f t="shared" si="31"/>
        <v>0</v>
      </c>
      <c r="U44" s="327">
        <f t="shared" si="32"/>
        <v>0</v>
      </c>
      <c r="V44" s="397">
        <f t="shared" si="10"/>
        <v>0</v>
      </c>
      <c r="W44" s="464">
        <f t="shared" si="11"/>
        <v>0</v>
      </c>
      <c r="X44" s="332">
        <f t="shared" si="33"/>
        <v>1</v>
      </c>
      <c r="Y44" s="238" t="s">
        <v>45</v>
      </c>
      <c r="Z44" s="67"/>
      <c r="AA44" s="67"/>
      <c r="AB44" s="67"/>
      <c r="AC44" s="67"/>
      <c r="AD44" s="67"/>
      <c r="AE44" s="271" t="str">
        <f t="shared" si="12"/>
        <v>English</v>
      </c>
      <c r="AF44" s="271" t="str">
        <f t="shared" si="13"/>
        <v>English</v>
      </c>
      <c r="AG44" s="271" t="str">
        <f t="shared" si="14"/>
        <v>No</v>
      </c>
      <c r="AH44" s="271" t="str">
        <f t="shared" si="15"/>
        <v>No</v>
      </c>
      <c r="AI44" s="393" t="str">
        <f t="shared" si="16"/>
        <v>No</v>
      </c>
      <c r="AJ44" s="393" t="str">
        <f t="shared" si="17"/>
        <v>No</v>
      </c>
      <c r="AK44" s="393" t="str">
        <f t="shared" si="18"/>
        <v>No</v>
      </c>
      <c r="AL44" s="393" t="str">
        <f t="shared" si="19"/>
        <v>No</v>
      </c>
      <c r="AM44" s="400" t="str">
        <f t="shared" si="20"/>
        <v/>
      </c>
      <c r="AN44" s="401" t="str">
        <f t="shared" si="21"/>
        <v/>
      </c>
      <c r="AO44" s="401" t="str">
        <f t="shared" si="22"/>
        <v/>
      </c>
      <c r="AP44" s="401" t="str">
        <f t="shared" si="23"/>
        <v/>
      </c>
      <c r="AQ44" s="399">
        <f t="shared" si="24"/>
        <v>0</v>
      </c>
    </row>
    <row r="45" spans="1:43" s="138" customFormat="1" ht="12.75" customHeight="1" x14ac:dyDescent="0.2">
      <c r="A45" s="399">
        <v>23</v>
      </c>
      <c r="B45" s="308"/>
      <c r="C45" s="214" t="str">
        <f t="shared" si="5"/>
        <v/>
      </c>
      <c r="D45" s="378" t="str">
        <f t="shared" si="6"/>
        <v>?</v>
      </c>
      <c r="E45" s="394" t="str">
        <f t="shared" si="25"/>
        <v>Yes</v>
      </c>
      <c r="F45" s="380" t="str">
        <f t="shared" si="34"/>
        <v>No</v>
      </c>
      <c r="G45" s="380" t="str">
        <f t="shared" si="35"/>
        <v>No</v>
      </c>
      <c r="H45" s="380" t="str">
        <f t="shared" si="36"/>
        <v>No</v>
      </c>
      <c r="I45" s="380" t="str">
        <f t="shared" si="36"/>
        <v>Nein</v>
      </c>
      <c r="J45" s="241">
        <v>0</v>
      </c>
      <c r="K45" s="313">
        <v>0</v>
      </c>
      <c r="L45" s="397">
        <f t="shared" si="26"/>
        <v>0</v>
      </c>
      <c r="M45" s="464">
        <f t="shared" si="8"/>
        <v>0</v>
      </c>
      <c r="N45" s="215">
        <v>1</v>
      </c>
      <c r="O45" s="326">
        <f t="shared" si="27"/>
        <v>0</v>
      </c>
      <c r="P45" s="327">
        <f t="shared" si="28"/>
        <v>0</v>
      </c>
      <c r="Q45" s="397">
        <f t="shared" si="29"/>
        <v>0</v>
      </c>
      <c r="R45" s="464">
        <f t="shared" si="9"/>
        <v>0</v>
      </c>
      <c r="S45" s="328">
        <f t="shared" si="30"/>
        <v>1</v>
      </c>
      <c r="T45" s="326">
        <f t="shared" si="31"/>
        <v>0</v>
      </c>
      <c r="U45" s="327">
        <f t="shared" si="32"/>
        <v>0</v>
      </c>
      <c r="V45" s="397">
        <f t="shared" si="10"/>
        <v>0</v>
      </c>
      <c r="W45" s="464">
        <f t="shared" si="11"/>
        <v>0</v>
      </c>
      <c r="X45" s="332">
        <f t="shared" si="33"/>
        <v>1</v>
      </c>
      <c r="Y45" s="238" t="s">
        <v>45</v>
      </c>
      <c r="Z45" s="67"/>
      <c r="AA45" s="67"/>
      <c r="AB45" s="67"/>
      <c r="AC45" s="67"/>
      <c r="AD45" s="67"/>
      <c r="AE45" s="271" t="str">
        <f t="shared" si="12"/>
        <v>English</v>
      </c>
      <c r="AF45" s="271" t="str">
        <f t="shared" si="13"/>
        <v>English</v>
      </c>
      <c r="AG45" s="271" t="str">
        <f t="shared" si="14"/>
        <v>No</v>
      </c>
      <c r="AH45" s="271" t="str">
        <f t="shared" si="15"/>
        <v>No</v>
      </c>
      <c r="AI45" s="393" t="str">
        <f t="shared" si="16"/>
        <v>No</v>
      </c>
      <c r="AJ45" s="393" t="str">
        <f t="shared" si="17"/>
        <v>No</v>
      </c>
      <c r="AK45" s="393" t="str">
        <f t="shared" si="18"/>
        <v>No</v>
      </c>
      <c r="AL45" s="393" t="str">
        <f t="shared" si="19"/>
        <v>No</v>
      </c>
      <c r="AM45" s="400" t="str">
        <f t="shared" si="20"/>
        <v/>
      </c>
      <c r="AN45" s="401" t="str">
        <f t="shared" si="21"/>
        <v/>
      </c>
      <c r="AO45" s="401" t="str">
        <f t="shared" si="22"/>
        <v/>
      </c>
      <c r="AP45" s="401" t="str">
        <f t="shared" si="23"/>
        <v/>
      </c>
      <c r="AQ45" s="399">
        <f t="shared" si="24"/>
        <v>0</v>
      </c>
    </row>
    <row r="46" spans="1:43" s="138" customFormat="1" ht="12.75" customHeight="1" x14ac:dyDescent="0.2">
      <c r="A46" s="399">
        <v>24</v>
      </c>
      <c r="B46" s="308"/>
      <c r="C46" s="214" t="str">
        <f t="shared" si="5"/>
        <v/>
      </c>
      <c r="D46" s="378" t="str">
        <f t="shared" si="6"/>
        <v>?</v>
      </c>
      <c r="E46" s="394" t="str">
        <f t="shared" si="25"/>
        <v>Yes</v>
      </c>
      <c r="F46" s="380" t="str">
        <f t="shared" si="34"/>
        <v>No</v>
      </c>
      <c r="G46" s="380" t="str">
        <f t="shared" si="35"/>
        <v>No</v>
      </c>
      <c r="H46" s="380" t="str">
        <f t="shared" si="36"/>
        <v>No</v>
      </c>
      <c r="I46" s="380" t="str">
        <f t="shared" si="36"/>
        <v>Nein</v>
      </c>
      <c r="J46" s="241">
        <v>0</v>
      </c>
      <c r="K46" s="313">
        <v>0</v>
      </c>
      <c r="L46" s="397">
        <f t="shared" si="26"/>
        <v>0</v>
      </c>
      <c r="M46" s="464">
        <f t="shared" si="8"/>
        <v>0</v>
      </c>
      <c r="N46" s="215">
        <v>1</v>
      </c>
      <c r="O46" s="326">
        <f t="shared" si="27"/>
        <v>0</v>
      </c>
      <c r="P46" s="327">
        <f t="shared" si="28"/>
        <v>0</v>
      </c>
      <c r="Q46" s="397">
        <f t="shared" si="29"/>
        <v>0</v>
      </c>
      <c r="R46" s="464">
        <f t="shared" si="9"/>
        <v>0</v>
      </c>
      <c r="S46" s="328">
        <f t="shared" si="30"/>
        <v>1</v>
      </c>
      <c r="T46" s="326">
        <f t="shared" si="31"/>
        <v>0</v>
      </c>
      <c r="U46" s="327">
        <f t="shared" si="32"/>
        <v>0</v>
      </c>
      <c r="V46" s="397">
        <f t="shared" si="10"/>
        <v>0</v>
      </c>
      <c r="W46" s="464">
        <f t="shared" si="11"/>
        <v>0</v>
      </c>
      <c r="X46" s="332">
        <f t="shared" si="33"/>
        <v>1</v>
      </c>
      <c r="Y46" s="238" t="s">
        <v>45</v>
      </c>
      <c r="Z46" s="67"/>
      <c r="AA46" s="67"/>
      <c r="AB46" s="67"/>
      <c r="AC46" s="67"/>
      <c r="AD46" s="67"/>
      <c r="AE46" s="271" t="str">
        <f t="shared" si="12"/>
        <v>English</v>
      </c>
      <c r="AF46" s="271" t="str">
        <f t="shared" si="13"/>
        <v>English</v>
      </c>
      <c r="AG46" s="271" t="str">
        <f t="shared" si="14"/>
        <v>No</v>
      </c>
      <c r="AH46" s="271" t="str">
        <f t="shared" si="15"/>
        <v>No</v>
      </c>
      <c r="AI46" s="393" t="str">
        <f t="shared" si="16"/>
        <v>No</v>
      </c>
      <c r="AJ46" s="393" t="str">
        <f t="shared" si="17"/>
        <v>No</v>
      </c>
      <c r="AK46" s="393" t="str">
        <f t="shared" si="18"/>
        <v>No</v>
      </c>
      <c r="AL46" s="393" t="str">
        <f t="shared" si="19"/>
        <v>No</v>
      </c>
      <c r="AM46" s="400" t="str">
        <f t="shared" si="20"/>
        <v/>
      </c>
      <c r="AN46" s="401" t="str">
        <f t="shared" si="21"/>
        <v/>
      </c>
      <c r="AO46" s="401" t="str">
        <f t="shared" si="22"/>
        <v/>
      </c>
      <c r="AP46" s="401" t="str">
        <f t="shared" si="23"/>
        <v/>
      </c>
      <c r="AQ46" s="399">
        <f t="shared" si="24"/>
        <v>0</v>
      </c>
    </row>
    <row r="47" spans="1:43" s="138" customFormat="1" ht="12.75" customHeight="1" x14ac:dyDescent="0.2">
      <c r="A47" s="399">
        <v>25</v>
      </c>
      <c r="B47" s="308"/>
      <c r="C47" s="214" t="str">
        <f t="shared" si="5"/>
        <v/>
      </c>
      <c r="D47" s="378" t="str">
        <f t="shared" si="6"/>
        <v>?</v>
      </c>
      <c r="E47" s="394" t="str">
        <f t="shared" si="25"/>
        <v>Yes</v>
      </c>
      <c r="F47" s="380" t="str">
        <f t="shared" si="34"/>
        <v>No</v>
      </c>
      <c r="G47" s="380" t="str">
        <f t="shared" si="35"/>
        <v>No</v>
      </c>
      <c r="H47" s="380" t="str">
        <f t="shared" si="36"/>
        <v>No</v>
      </c>
      <c r="I47" s="380" t="str">
        <f t="shared" si="36"/>
        <v>Nein</v>
      </c>
      <c r="J47" s="241">
        <v>0</v>
      </c>
      <c r="K47" s="313">
        <v>0</v>
      </c>
      <c r="L47" s="397">
        <f t="shared" si="26"/>
        <v>0</v>
      </c>
      <c r="M47" s="464">
        <f t="shared" si="8"/>
        <v>0</v>
      </c>
      <c r="N47" s="215">
        <v>1</v>
      </c>
      <c r="O47" s="326">
        <f t="shared" si="27"/>
        <v>0</v>
      </c>
      <c r="P47" s="327">
        <f t="shared" si="28"/>
        <v>0</v>
      </c>
      <c r="Q47" s="397">
        <f t="shared" si="29"/>
        <v>0</v>
      </c>
      <c r="R47" s="464">
        <f t="shared" si="9"/>
        <v>0</v>
      </c>
      <c r="S47" s="328">
        <f t="shared" si="30"/>
        <v>1</v>
      </c>
      <c r="T47" s="326">
        <f t="shared" si="31"/>
        <v>0</v>
      </c>
      <c r="U47" s="327">
        <f t="shared" si="32"/>
        <v>0</v>
      </c>
      <c r="V47" s="397">
        <f t="shared" si="10"/>
        <v>0</v>
      </c>
      <c r="W47" s="464">
        <f t="shared" si="11"/>
        <v>0</v>
      </c>
      <c r="X47" s="332">
        <f t="shared" si="33"/>
        <v>1</v>
      </c>
      <c r="Y47" s="238" t="s">
        <v>45</v>
      </c>
      <c r="Z47" s="67"/>
      <c r="AA47" s="67"/>
      <c r="AB47" s="67"/>
      <c r="AC47" s="67"/>
      <c r="AD47" s="67"/>
      <c r="AE47" s="271" t="str">
        <f t="shared" si="12"/>
        <v>English</v>
      </c>
      <c r="AF47" s="271" t="str">
        <f t="shared" si="13"/>
        <v>English</v>
      </c>
      <c r="AG47" s="271" t="str">
        <f t="shared" si="14"/>
        <v>No</v>
      </c>
      <c r="AH47" s="271" t="str">
        <f t="shared" si="15"/>
        <v>No</v>
      </c>
      <c r="AI47" s="393" t="str">
        <f t="shared" si="16"/>
        <v>No</v>
      </c>
      <c r="AJ47" s="393" t="str">
        <f t="shared" si="17"/>
        <v>No</v>
      </c>
      <c r="AK47" s="393" t="str">
        <f t="shared" si="18"/>
        <v>No</v>
      </c>
      <c r="AL47" s="393" t="str">
        <f t="shared" si="19"/>
        <v>No</v>
      </c>
      <c r="AM47" s="400" t="str">
        <f t="shared" si="20"/>
        <v/>
      </c>
      <c r="AN47" s="401" t="str">
        <f t="shared" si="21"/>
        <v/>
      </c>
      <c r="AO47" s="401" t="str">
        <f t="shared" si="22"/>
        <v/>
      </c>
      <c r="AP47" s="401" t="str">
        <f t="shared" si="23"/>
        <v/>
      </c>
      <c r="AQ47" s="399">
        <f t="shared" si="24"/>
        <v>0</v>
      </c>
    </row>
    <row r="48" spans="1:43" s="138" customFormat="1" ht="12.75" customHeight="1" x14ac:dyDescent="0.2">
      <c r="A48" s="399">
        <v>26</v>
      </c>
      <c r="B48" s="308"/>
      <c r="C48" s="214" t="str">
        <f t="shared" si="5"/>
        <v/>
      </c>
      <c r="D48" s="378" t="str">
        <f t="shared" si="6"/>
        <v>?</v>
      </c>
      <c r="E48" s="394" t="str">
        <f t="shared" si="25"/>
        <v>Yes</v>
      </c>
      <c r="F48" s="380" t="str">
        <f t="shared" si="34"/>
        <v>No</v>
      </c>
      <c r="G48" s="380" t="str">
        <f t="shared" si="35"/>
        <v>No</v>
      </c>
      <c r="H48" s="380" t="str">
        <f t="shared" si="36"/>
        <v>No</v>
      </c>
      <c r="I48" s="380" t="str">
        <f t="shared" si="36"/>
        <v>Nein</v>
      </c>
      <c r="J48" s="241">
        <v>0</v>
      </c>
      <c r="K48" s="313">
        <v>0</v>
      </c>
      <c r="L48" s="397">
        <f t="shared" si="26"/>
        <v>0</v>
      </c>
      <c r="M48" s="464">
        <f t="shared" si="8"/>
        <v>0</v>
      </c>
      <c r="N48" s="215">
        <v>1</v>
      </c>
      <c r="O48" s="326">
        <f t="shared" si="27"/>
        <v>0</v>
      </c>
      <c r="P48" s="327">
        <f t="shared" si="28"/>
        <v>0</v>
      </c>
      <c r="Q48" s="397">
        <f t="shared" si="29"/>
        <v>0</v>
      </c>
      <c r="R48" s="464">
        <f t="shared" si="9"/>
        <v>0</v>
      </c>
      <c r="S48" s="328">
        <f t="shared" si="30"/>
        <v>1</v>
      </c>
      <c r="T48" s="326">
        <f t="shared" si="31"/>
        <v>0</v>
      </c>
      <c r="U48" s="327">
        <f t="shared" si="32"/>
        <v>0</v>
      </c>
      <c r="V48" s="397">
        <f t="shared" si="10"/>
        <v>0</v>
      </c>
      <c r="W48" s="464">
        <f t="shared" si="11"/>
        <v>0</v>
      </c>
      <c r="X48" s="332">
        <f t="shared" si="33"/>
        <v>1</v>
      </c>
      <c r="Y48" s="238" t="s">
        <v>45</v>
      </c>
      <c r="Z48" s="67"/>
      <c r="AA48" s="67"/>
      <c r="AB48" s="67"/>
      <c r="AC48" s="67"/>
      <c r="AD48" s="67"/>
      <c r="AE48" s="271" t="str">
        <f t="shared" si="12"/>
        <v>English</v>
      </c>
      <c r="AF48" s="271" t="str">
        <f t="shared" si="13"/>
        <v>English</v>
      </c>
      <c r="AG48" s="271" t="str">
        <f t="shared" si="14"/>
        <v>No</v>
      </c>
      <c r="AH48" s="271" t="str">
        <f t="shared" si="15"/>
        <v>No</v>
      </c>
      <c r="AI48" s="393" t="str">
        <f t="shared" si="16"/>
        <v>No</v>
      </c>
      <c r="AJ48" s="393" t="str">
        <f t="shared" si="17"/>
        <v>No</v>
      </c>
      <c r="AK48" s="393" t="str">
        <f t="shared" si="18"/>
        <v>No</v>
      </c>
      <c r="AL48" s="393" t="str">
        <f t="shared" si="19"/>
        <v>No</v>
      </c>
      <c r="AM48" s="400" t="str">
        <f t="shared" si="20"/>
        <v/>
      </c>
      <c r="AN48" s="401" t="str">
        <f t="shared" si="21"/>
        <v/>
      </c>
      <c r="AO48" s="401" t="str">
        <f t="shared" si="22"/>
        <v/>
      </c>
      <c r="AP48" s="401" t="str">
        <f t="shared" si="23"/>
        <v/>
      </c>
      <c r="AQ48" s="399">
        <f t="shared" si="24"/>
        <v>0</v>
      </c>
    </row>
    <row r="49" spans="1:43" s="138" customFormat="1" ht="12.75" customHeight="1" x14ac:dyDescent="0.2">
      <c r="A49" s="399">
        <v>27</v>
      </c>
      <c r="B49" s="308"/>
      <c r="C49" s="214" t="str">
        <f t="shared" si="5"/>
        <v/>
      </c>
      <c r="D49" s="378" t="str">
        <f t="shared" si="6"/>
        <v>?</v>
      </c>
      <c r="E49" s="394" t="str">
        <f t="shared" si="25"/>
        <v>Yes</v>
      </c>
      <c r="F49" s="380" t="str">
        <f t="shared" si="34"/>
        <v>No</v>
      </c>
      <c r="G49" s="380" t="str">
        <f t="shared" si="35"/>
        <v>No</v>
      </c>
      <c r="H49" s="380" t="str">
        <f t="shared" si="36"/>
        <v>No</v>
      </c>
      <c r="I49" s="380" t="str">
        <f t="shared" si="36"/>
        <v>Nein</v>
      </c>
      <c r="J49" s="241">
        <v>0</v>
      </c>
      <c r="K49" s="313">
        <v>0</v>
      </c>
      <c r="L49" s="397">
        <f t="shared" si="26"/>
        <v>0</v>
      </c>
      <c r="M49" s="464">
        <f t="shared" si="8"/>
        <v>0</v>
      </c>
      <c r="N49" s="215">
        <v>1</v>
      </c>
      <c r="O49" s="326">
        <f t="shared" si="27"/>
        <v>0</v>
      </c>
      <c r="P49" s="327">
        <f t="shared" si="28"/>
        <v>0</v>
      </c>
      <c r="Q49" s="397">
        <f t="shared" si="29"/>
        <v>0</v>
      </c>
      <c r="R49" s="464">
        <f t="shared" si="9"/>
        <v>0</v>
      </c>
      <c r="S49" s="328">
        <f t="shared" si="30"/>
        <v>1</v>
      </c>
      <c r="T49" s="326">
        <f t="shared" si="31"/>
        <v>0</v>
      </c>
      <c r="U49" s="327">
        <f t="shared" si="32"/>
        <v>0</v>
      </c>
      <c r="V49" s="397">
        <f t="shared" si="10"/>
        <v>0</v>
      </c>
      <c r="W49" s="464">
        <f t="shared" si="11"/>
        <v>0</v>
      </c>
      <c r="X49" s="332">
        <f t="shared" si="33"/>
        <v>1</v>
      </c>
      <c r="Y49" s="238" t="s">
        <v>45</v>
      </c>
      <c r="Z49" s="67"/>
      <c r="AA49" s="67"/>
      <c r="AB49" s="67"/>
      <c r="AC49" s="67"/>
      <c r="AD49" s="67"/>
      <c r="AE49" s="271" t="str">
        <f t="shared" si="12"/>
        <v>English</v>
      </c>
      <c r="AF49" s="271" t="str">
        <f t="shared" si="13"/>
        <v>English</v>
      </c>
      <c r="AG49" s="271" t="str">
        <f t="shared" si="14"/>
        <v>No</v>
      </c>
      <c r="AH49" s="271" t="str">
        <f t="shared" si="15"/>
        <v>No</v>
      </c>
      <c r="AI49" s="393" t="str">
        <f t="shared" si="16"/>
        <v>No</v>
      </c>
      <c r="AJ49" s="393" t="str">
        <f t="shared" si="17"/>
        <v>No</v>
      </c>
      <c r="AK49" s="393" t="str">
        <f t="shared" si="18"/>
        <v>No</v>
      </c>
      <c r="AL49" s="393" t="str">
        <f t="shared" si="19"/>
        <v>No</v>
      </c>
      <c r="AM49" s="400" t="str">
        <f t="shared" si="20"/>
        <v/>
      </c>
      <c r="AN49" s="401" t="str">
        <f t="shared" si="21"/>
        <v/>
      </c>
      <c r="AO49" s="401" t="str">
        <f t="shared" si="22"/>
        <v/>
      </c>
      <c r="AP49" s="401" t="str">
        <f t="shared" si="23"/>
        <v/>
      </c>
      <c r="AQ49" s="399">
        <f t="shared" si="24"/>
        <v>0</v>
      </c>
    </row>
    <row r="50" spans="1:43" s="138" customFormat="1" ht="12.75" customHeight="1" x14ac:dyDescent="0.2">
      <c r="A50" s="399">
        <v>28</v>
      </c>
      <c r="B50" s="308"/>
      <c r="C50" s="214" t="str">
        <f t="shared" si="5"/>
        <v/>
      </c>
      <c r="D50" s="378" t="str">
        <f t="shared" si="6"/>
        <v>?</v>
      </c>
      <c r="E50" s="394" t="str">
        <f t="shared" si="25"/>
        <v>Yes</v>
      </c>
      <c r="F50" s="380" t="str">
        <f t="shared" si="34"/>
        <v>No</v>
      </c>
      <c r="G50" s="380" t="str">
        <f t="shared" si="35"/>
        <v>No</v>
      </c>
      <c r="H50" s="380" t="str">
        <f t="shared" si="36"/>
        <v>No</v>
      </c>
      <c r="I50" s="380" t="str">
        <f t="shared" si="36"/>
        <v>Nein</v>
      </c>
      <c r="J50" s="241">
        <v>0</v>
      </c>
      <c r="K50" s="313">
        <v>0</v>
      </c>
      <c r="L50" s="397">
        <f t="shared" si="26"/>
        <v>0</v>
      </c>
      <c r="M50" s="464">
        <f t="shared" si="8"/>
        <v>0</v>
      </c>
      <c r="N50" s="215">
        <v>1</v>
      </c>
      <c r="O50" s="326">
        <f t="shared" si="27"/>
        <v>0</v>
      </c>
      <c r="P50" s="327">
        <f t="shared" si="28"/>
        <v>0</v>
      </c>
      <c r="Q50" s="397">
        <f t="shared" si="29"/>
        <v>0</v>
      </c>
      <c r="R50" s="464">
        <f t="shared" si="9"/>
        <v>0</v>
      </c>
      <c r="S50" s="328">
        <f t="shared" si="30"/>
        <v>1</v>
      </c>
      <c r="T50" s="326">
        <f t="shared" si="31"/>
        <v>0</v>
      </c>
      <c r="U50" s="327">
        <f t="shared" si="32"/>
        <v>0</v>
      </c>
      <c r="V50" s="397">
        <f t="shared" si="10"/>
        <v>0</v>
      </c>
      <c r="W50" s="464">
        <f t="shared" si="11"/>
        <v>0</v>
      </c>
      <c r="X50" s="332">
        <f t="shared" si="33"/>
        <v>1</v>
      </c>
      <c r="Y50" s="238" t="s">
        <v>45</v>
      </c>
      <c r="Z50" s="67"/>
      <c r="AA50" s="67"/>
      <c r="AB50" s="67"/>
      <c r="AC50" s="67"/>
      <c r="AD50" s="67"/>
      <c r="AE50" s="271" t="str">
        <f t="shared" si="12"/>
        <v>English</v>
      </c>
      <c r="AF50" s="271" t="str">
        <f t="shared" si="13"/>
        <v>English</v>
      </c>
      <c r="AG50" s="271" t="str">
        <f t="shared" si="14"/>
        <v>No</v>
      </c>
      <c r="AH50" s="271" t="str">
        <f t="shared" si="15"/>
        <v>No</v>
      </c>
      <c r="AI50" s="393" t="str">
        <f t="shared" si="16"/>
        <v>No</v>
      </c>
      <c r="AJ50" s="393" t="str">
        <f t="shared" si="17"/>
        <v>No</v>
      </c>
      <c r="AK50" s="393" t="str">
        <f t="shared" si="18"/>
        <v>No</v>
      </c>
      <c r="AL50" s="393" t="str">
        <f t="shared" si="19"/>
        <v>No</v>
      </c>
      <c r="AM50" s="400" t="str">
        <f t="shared" si="20"/>
        <v/>
      </c>
      <c r="AN50" s="401" t="str">
        <f t="shared" si="21"/>
        <v/>
      </c>
      <c r="AO50" s="401" t="str">
        <f t="shared" si="22"/>
        <v/>
      </c>
      <c r="AP50" s="401" t="str">
        <f t="shared" si="23"/>
        <v/>
      </c>
      <c r="AQ50" s="399">
        <f t="shared" si="24"/>
        <v>0</v>
      </c>
    </row>
    <row r="51" spans="1:43" s="138" customFormat="1" ht="12.75" customHeight="1" x14ac:dyDescent="0.2">
      <c r="A51" s="399">
        <v>29</v>
      </c>
      <c r="B51" s="308"/>
      <c r="C51" s="214" t="str">
        <f t="shared" si="5"/>
        <v/>
      </c>
      <c r="D51" s="378" t="str">
        <f t="shared" si="6"/>
        <v>?</v>
      </c>
      <c r="E51" s="394" t="str">
        <f t="shared" si="25"/>
        <v>Yes</v>
      </c>
      <c r="F51" s="380" t="str">
        <f t="shared" si="34"/>
        <v>No</v>
      </c>
      <c r="G51" s="380" t="str">
        <f t="shared" si="35"/>
        <v>No</v>
      </c>
      <c r="H51" s="380" t="str">
        <f t="shared" si="36"/>
        <v>No</v>
      </c>
      <c r="I51" s="380" t="str">
        <f t="shared" si="36"/>
        <v>Nein</v>
      </c>
      <c r="J51" s="241">
        <v>0</v>
      </c>
      <c r="K51" s="313">
        <v>0</v>
      </c>
      <c r="L51" s="397">
        <f t="shared" si="26"/>
        <v>0</v>
      </c>
      <c r="M51" s="464">
        <f t="shared" si="8"/>
        <v>0</v>
      </c>
      <c r="N51" s="215">
        <v>1</v>
      </c>
      <c r="O51" s="326">
        <f t="shared" si="27"/>
        <v>0</v>
      </c>
      <c r="P51" s="327">
        <f t="shared" si="28"/>
        <v>0</v>
      </c>
      <c r="Q51" s="397">
        <f t="shared" si="29"/>
        <v>0</v>
      </c>
      <c r="R51" s="464">
        <f t="shared" si="9"/>
        <v>0</v>
      </c>
      <c r="S51" s="328">
        <f t="shared" si="30"/>
        <v>1</v>
      </c>
      <c r="T51" s="326">
        <f t="shared" si="31"/>
        <v>0</v>
      </c>
      <c r="U51" s="327">
        <f t="shared" si="32"/>
        <v>0</v>
      </c>
      <c r="V51" s="397">
        <f t="shared" si="10"/>
        <v>0</v>
      </c>
      <c r="W51" s="464">
        <f t="shared" si="11"/>
        <v>0</v>
      </c>
      <c r="X51" s="332">
        <f t="shared" si="33"/>
        <v>1</v>
      </c>
      <c r="Y51" s="238" t="s">
        <v>45</v>
      </c>
      <c r="Z51" s="67"/>
      <c r="AA51" s="67"/>
      <c r="AB51" s="67"/>
      <c r="AC51" s="67"/>
      <c r="AD51" s="67"/>
      <c r="AE51" s="271" t="str">
        <f t="shared" si="12"/>
        <v>English</v>
      </c>
      <c r="AF51" s="271" t="str">
        <f t="shared" si="13"/>
        <v>English</v>
      </c>
      <c r="AG51" s="271" t="str">
        <f t="shared" si="14"/>
        <v>No</v>
      </c>
      <c r="AH51" s="271" t="str">
        <f t="shared" si="15"/>
        <v>No</v>
      </c>
      <c r="AI51" s="393" t="str">
        <f t="shared" si="16"/>
        <v>No</v>
      </c>
      <c r="AJ51" s="393" t="str">
        <f t="shared" si="17"/>
        <v>No</v>
      </c>
      <c r="AK51" s="393" t="str">
        <f t="shared" si="18"/>
        <v>No</v>
      </c>
      <c r="AL51" s="393" t="str">
        <f t="shared" si="19"/>
        <v>No</v>
      </c>
      <c r="AM51" s="400" t="str">
        <f t="shared" si="20"/>
        <v/>
      </c>
      <c r="AN51" s="401" t="str">
        <f t="shared" si="21"/>
        <v/>
      </c>
      <c r="AO51" s="401" t="str">
        <f t="shared" si="22"/>
        <v/>
      </c>
      <c r="AP51" s="401" t="str">
        <f t="shared" si="23"/>
        <v/>
      </c>
      <c r="AQ51" s="399">
        <f t="shared" si="24"/>
        <v>0</v>
      </c>
    </row>
    <row r="52" spans="1:43" s="138" customFormat="1" ht="12.75" customHeight="1" x14ac:dyDescent="0.2">
      <c r="A52" s="399">
        <v>30</v>
      </c>
      <c r="B52" s="308"/>
      <c r="C52" s="214" t="str">
        <f t="shared" si="5"/>
        <v/>
      </c>
      <c r="D52" s="378" t="str">
        <f t="shared" si="6"/>
        <v>?</v>
      </c>
      <c r="E52" s="394" t="str">
        <f t="shared" si="25"/>
        <v>Yes</v>
      </c>
      <c r="F52" s="380" t="str">
        <f t="shared" si="34"/>
        <v>No</v>
      </c>
      <c r="G52" s="380" t="str">
        <f t="shared" si="35"/>
        <v>No</v>
      </c>
      <c r="H52" s="380" t="str">
        <f t="shared" si="36"/>
        <v>No</v>
      </c>
      <c r="I52" s="380" t="str">
        <f t="shared" si="36"/>
        <v>Nein</v>
      </c>
      <c r="J52" s="241">
        <v>0</v>
      </c>
      <c r="K52" s="313">
        <v>0</v>
      </c>
      <c r="L52" s="397">
        <f t="shared" si="26"/>
        <v>0</v>
      </c>
      <c r="M52" s="464">
        <f t="shared" si="8"/>
        <v>0</v>
      </c>
      <c r="N52" s="215">
        <v>1</v>
      </c>
      <c r="O52" s="326">
        <f t="shared" si="27"/>
        <v>0</v>
      </c>
      <c r="P52" s="327">
        <f t="shared" si="28"/>
        <v>0</v>
      </c>
      <c r="Q52" s="397">
        <f t="shared" si="29"/>
        <v>0</v>
      </c>
      <c r="R52" s="464">
        <f t="shared" si="9"/>
        <v>0</v>
      </c>
      <c r="S52" s="328">
        <f t="shared" si="30"/>
        <v>1</v>
      </c>
      <c r="T52" s="326">
        <f t="shared" si="31"/>
        <v>0</v>
      </c>
      <c r="U52" s="327">
        <f t="shared" si="32"/>
        <v>0</v>
      </c>
      <c r="V52" s="397">
        <f t="shared" si="10"/>
        <v>0</v>
      </c>
      <c r="W52" s="464">
        <f t="shared" si="11"/>
        <v>0</v>
      </c>
      <c r="X52" s="332">
        <f t="shared" si="33"/>
        <v>1</v>
      </c>
      <c r="Y52" s="238" t="s">
        <v>45</v>
      </c>
      <c r="Z52" s="67"/>
      <c r="AA52" s="67"/>
      <c r="AB52" s="67"/>
      <c r="AC52" s="67"/>
      <c r="AD52" s="67"/>
      <c r="AE52" s="271" t="str">
        <f t="shared" si="12"/>
        <v>English</v>
      </c>
      <c r="AF52" s="271" t="str">
        <f t="shared" si="13"/>
        <v>English</v>
      </c>
      <c r="AG52" s="271" t="str">
        <f t="shared" si="14"/>
        <v>No</v>
      </c>
      <c r="AH52" s="271" t="str">
        <f t="shared" si="15"/>
        <v>No</v>
      </c>
      <c r="AI52" s="393" t="str">
        <f t="shared" si="16"/>
        <v>No</v>
      </c>
      <c r="AJ52" s="393" t="str">
        <f t="shared" si="17"/>
        <v>No</v>
      </c>
      <c r="AK52" s="393" t="str">
        <f t="shared" si="18"/>
        <v>No</v>
      </c>
      <c r="AL52" s="393" t="str">
        <f t="shared" si="19"/>
        <v>No</v>
      </c>
      <c r="AM52" s="400" t="str">
        <f t="shared" si="20"/>
        <v/>
      </c>
      <c r="AN52" s="401" t="str">
        <f t="shared" si="21"/>
        <v/>
      </c>
      <c r="AO52" s="401" t="str">
        <f t="shared" si="22"/>
        <v/>
      </c>
      <c r="AP52" s="401" t="str">
        <f t="shared" si="23"/>
        <v/>
      </c>
      <c r="AQ52" s="399">
        <f t="shared" si="24"/>
        <v>0</v>
      </c>
    </row>
    <row r="53" spans="1:43" s="138" customFormat="1" ht="12.75" customHeight="1" x14ac:dyDescent="0.2">
      <c r="A53" s="399">
        <v>31</v>
      </c>
      <c r="B53" s="308"/>
      <c r="C53" s="214" t="str">
        <f t="shared" si="5"/>
        <v/>
      </c>
      <c r="D53" s="378" t="str">
        <f t="shared" si="6"/>
        <v>?</v>
      </c>
      <c r="E53" s="394" t="str">
        <f t="shared" si="25"/>
        <v>Yes</v>
      </c>
      <c r="F53" s="380" t="str">
        <f t="shared" si="34"/>
        <v>No</v>
      </c>
      <c r="G53" s="380" t="str">
        <f t="shared" si="35"/>
        <v>No</v>
      </c>
      <c r="H53" s="380" t="str">
        <f t="shared" si="36"/>
        <v>No</v>
      </c>
      <c r="I53" s="380" t="str">
        <f t="shared" si="36"/>
        <v>Nein</v>
      </c>
      <c r="J53" s="241">
        <v>0</v>
      </c>
      <c r="K53" s="313">
        <v>0</v>
      </c>
      <c r="L53" s="397">
        <f t="shared" si="26"/>
        <v>0</v>
      </c>
      <c r="M53" s="464">
        <f t="shared" si="8"/>
        <v>0</v>
      </c>
      <c r="N53" s="215">
        <v>1</v>
      </c>
      <c r="O53" s="326">
        <f t="shared" si="27"/>
        <v>0</v>
      </c>
      <c r="P53" s="327">
        <f t="shared" si="28"/>
        <v>0</v>
      </c>
      <c r="Q53" s="397">
        <f t="shared" si="29"/>
        <v>0</v>
      </c>
      <c r="R53" s="464">
        <f t="shared" si="9"/>
        <v>0</v>
      </c>
      <c r="S53" s="328">
        <f t="shared" si="30"/>
        <v>1</v>
      </c>
      <c r="T53" s="326">
        <f t="shared" si="31"/>
        <v>0</v>
      </c>
      <c r="U53" s="327">
        <f t="shared" si="32"/>
        <v>0</v>
      </c>
      <c r="V53" s="397">
        <f t="shared" si="10"/>
        <v>0</v>
      </c>
      <c r="W53" s="464">
        <f t="shared" si="11"/>
        <v>0</v>
      </c>
      <c r="X53" s="332">
        <f t="shared" si="33"/>
        <v>1</v>
      </c>
      <c r="Y53" s="238" t="s">
        <v>45</v>
      </c>
      <c r="Z53" s="67"/>
      <c r="AA53" s="67"/>
      <c r="AB53" s="67"/>
      <c r="AC53" s="67"/>
      <c r="AD53" s="67"/>
      <c r="AE53" s="271" t="str">
        <f t="shared" si="12"/>
        <v>English</v>
      </c>
      <c r="AF53" s="271" t="str">
        <f t="shared" si="13"/>
        <v>English</v>
      </c>
      <c r="AG53" s="271" t="str">
        <f t="shared" si="14"/>
        <v>No</v>
      </c>
      <c r="AH53" s="271" t="str">
        <f t="shared" si="15"/>
        <v>No</v>
      </c>
      <c r="AI53" s="393" t="str">
        <f t="shared" si="16"/>
        <v>No</v>
      </c>
      <c r="AJ53" s="393" t="str">
        <f t="shared" si="17"/>
        <v>No</v>
      </c>
      <c r="AK53" s="393" t="str">
        <f t="shared" si="18"/>
        <v>No</v>
      </c>
      <c r="AL53" s="393" t="str">
        <f t="shared" si="19"/>
        <v>No</v>
      </c>
      <c r="AM53" s="400" t="str">
        <f t="shared" si="20"/>
        <v/>
      </c>
      <c r="AN53" s="401" t="str">
        <f t="shared" si="21"/>
        <v/>
      </c>
      <c r="AO53" s="401" t="str">
        <f t="shared" si="22"/>
        <v/>
      </c>
      <c r="AP53" s="401" t="str">
        <f t="shared" si="23"/>
        <v/>
      </c>
      <c r="AQ53" s="399">
        <f t="shared" si="24"/>
        <v>0</v>
      </c>
    </row>
    <row r="54" spans="1:43" s="138" customFormat="1" ht="12.75" customHeight="1" x14ac:dyDescent="0.2">
      <c r="A54" s="399">
        <v>32</v>
      </c>
      <c r="B54" s="308"/>
      <c r="C54" s="214" t="str">
        <f t="shared" ref="C54:C72" si="37">IF(AND(A54=Hauptsitz,NOT(ISBLANK(OIN))),OIN,"")</f>
        <v/>
      </c>
      <c r="D54" s="378" t="str">
        <f t="shared" ref="D54:D72" si="38">Empty</f>
        <v>?</v>
      </c>
      <c r="E54" s="394" t="str">
        <f t="shared" si="25"/>
        <v>Yes</v>
      </c>
      <c r="F54" s="380" t="str">
        <f t="shared" si="34"/>
        <v>No</v>
      </c>
      <c r="G54" s="380" t="str">
        <f t="shared" si="35"/>
        <v>No</v>
      </c>
      <c r="H54" s="380" t="str">
        <f t="shared" si="36"/>
        <v>No</v>
      </c>
      <c r="I54" s="380" t="str">
        <f t="shared" si="36"/>
        <v>Nein</v>
      </c>
      <c r="J54" s="241">
        <v>0</v>
      </c>
      <c r="K54" s="313">
        <v>0</v>
      </c>
      <c r="L54" s="397">
        <f t="shared" si="26"/>
        <v>0</v>
      </c>
      <c r="M54" s="464">
        <f t="shared" ref="M54:M72" si="39">IF(OR(Teilbereich=Nein,$AL54=Ja),J54,L54)</f>
        <v>0</v>
      </c>
      <c r="N54" s="215">
        <v>1</v>
      </c>
      <c r="O54" s="326">
        <f t="shared" si="27"/>
        <v>0</v>
      </c>
      <c r="P54" s="327">
        <f t="shared" si="28"/>
        <v>0</v>
      </c>
      <c r="Q54" s="397">
        <f t="shared" si="29"/>
        <v>0</v>
      </c>
      <c r="R54" s="464">
        <f t="shared" ref="R54:R72" si="40">IF(OR(Teilbereich=Nein,$AL54=Ja),O54,Q54)</f>
        <v>0</v>
      </c>
      <c r="S54" s="328">
        <f t="shared" si="30"/>
        <v>1</v>
      </c>
      <c r="T54" s="326">
        <f t="shared" si="31"/>
        <v>0</v>
      </c>
      <c r="U54" s="327">
        <f t="shared" si="32"/>
        <v>0</v>
      </c>
      <c r="V54" s="397">
        <f t="shared" ref="V54:V72" si="41">MAX(0,T54-U54)</f>
        <v>0</v>
      </c>
      <c r="W54" s="464">
        <f t="shared" ref="W54:W72" si="42">IF(OR(Teilbereich=Nein,$AL54=Ja),T54,V54)</f>
        <v>0</v>
      </c>
      <c r="X54" s="332">
        <f t="shared" si="33"/>
        <v>1</v>
      </c>
      <c r="Y54" s="238" t="s">
        <v>45</v>
      </c>
      <c r="Z54" s="67"/>
      <c r="AA54" s="67"/>
      <c r="AB54" s="67"/>
      <c r="AC54" s="67"/>
      <c r="AD54" s="67"/>
      <c r="AE54" s="271" t="str">
        <f t="shared" si="12"/>
        <v>English</v>
      </c>
      <c r="AF54" s="271" t="str">
        <f t="shared" ref="AF54:AF72" si="43">Auditsprache</f>
        <v>English</v>
      </c>
      <c r="AG54" s="271" t="str">
        <f t="shared" ref="AG54:AG72" si="44">Nein</f>
        <v>No</v>
      </c>
      <c r="AH54" s="271" t="str">
        <f t="shared" ref="AH54:AH72" si="45">Dolmetsch__001</f>
        <v>No</v>
      </c>
      <c r="AI54" s="393" t="str">
        <f t="shared" ref="AI54:AI72" si="46">IF($L54+$Q54+$V54&gt;0,EN9100Ja,Nein)</f>
        <v>No</v>
      </c>
      <c r="AJ54" s="393" t="str">
        <f t="shared" ref="AJ54:AJ72" si="47">IF($L54+$Q54+$V54&gt;0,EN9110Ja,Nein)</f>
        <v>No</v>
      </c>
      <c r="AK54" s="393" t="str">
        <f t="shared" ref="AK54:AK72" si="48">IF($L54+$Q54+$V54&gt;0,EN9120Ja,Nein)</f>
        <v>No</v>
      </c>
      <c r="AL54" s="393" t="str">
        <f t="shared" ref="AL54:AL72" si="49">IF($J54+$O54+$T54&gt;0,ISO9001Ja,Nein)</f>
        <v>No</v>
      </c>
      <c r="AM54" s="400" t="str">
        <f t="shared" ref="AM54:AM72" si="50">IF(OR(ISBLANK(ScopeEN9100),AI54=Nein,SUM($J54:$V54)=0),"",ScopeEN9100)</f>
        <v/>
      </c>
      <c r="AN54" s="401" t="str">
        <f t="shared" ref="AN54:AN72" si="51">IF(OR(ISBLANK(ScopeEN9110),AJ54=Nein,SUM($J54:$V54)=0),"",ScopeEN9110)</f>
        <v/>
      </c>
      <c r="AO54" s="401" t="str">
        <f t="shared" ref="AO54:AO72" si="52">IF(OR(ISBLANK(ScopeEN9120),AK54=Nein,SUM($J54:$V54)=0),"",ScopeEN9120)</f>
        <v/>
      </c>
      <c r="AP54" s="401" t="str">
        <f t="shared" ref="AP54:AP72" si="53">IF(OR(ISBLANK(ScopeISO9001),AL54=Nein,SUM($J54:$V54)=0),"",ScopeISO9001)</f>
        <v/>
      </c>
      <c r="AQ54" s="399">
        <f t="shared" ref="AQ54:AQ72" si="54">IF(R54&lt;&gt;M54,1,0)</f>
        <v>0</v>
      </c>
    </row>
    <row r="55" spans="1:43" s="138" customFormat="1" ht="12.75" customHeight="1" x14ac:dyDescent="0.2">
      <c r="A55" s="399">
        <v>33</v>
      </c>
      <c r="B55" s="308"/>
      <c r="C55" s="214" t="str">
        <f t="shared" si="37"/>
        <v/>
      </c>
      <c r="D55" s="378" t="str">
        <f t="shared" si="38"/>
        <v>?</v>
      </c>
      <c r="E55" s="394" t="str">
        <f t="shared" ref="E55:E72" si="55">SiteDesign_001</f>
        <v>Yes</v>
      </c>
      <c r="F55" s="380" t="str">
        <f t="shared" si="34"/>
        <v>No</v>
      </c>
      <c r="G55" s="380" t="str">
        <f t="shared" si="35"/>
        <v>No</v>
      </c>
      <c r="H55" s="380" t="str">
        <f t="shared" si="36"/>
        <v>No</v>
      </c>
      <c r="I55" s="380" t="str">
        <f t="shared" si="36"/>
        <v>Nein</v>
      </c>
      <c r="J55" s="241">
        <v>0</v>
      </c>
      <c r="K55" s="313">
        <v>0</v>
      </c>
      <c r="L55" s="397">
        <f t="shared" si="26"/>
        <v>0</v>
      </c>
      <c r="M55" s="464">
        <f t="shared" si="39"/>
        <v>0</v>
      </c>
      <c r="N55" s="215">
        <v>1</v>
      </c>
      <c r="O55" s="326">
        <f t="shared" si="27"/>
        <v>0</v>
      </c>
      <c r="P55" s="327">
        <f t="shared" si="28"/>
        <v>0</v>
      </c>
      <c r="Q55" s="397">
        <f t="shared" si="29"/>
        <v>0</v>
      </c>
      <c r="R55" s="464">
        <f t="shared" si="40"/>
        <v>0</v>
      </c>
      <c r="S55" s="328">
        <f t="shared" si="30"/>
        <v>1</v>
      </c>
      <c r="T55" s="326">
        <f t="shared" si="31"/>
        <v>0</v>
      </c>
      <c r="U55" s="327">
        <f t="shared" si="32"/>
        <v>0</v>
      </c>
      <c r="V55" s="397">
        <f t="shared" si="41"/>
        <v>0</v>
      </c>
      <c r="W55" s="464">
        <f t="shared" si="42"/>
        <v>0</v>
      </c>
      <c r="X55" s="332">
        <f t="shared" si="33"/>
        <v>1</v>
      </c>
      <c r="Y55" s="238" t="s">
        <v>45</v>
      </c>
      <c r="Z55" s="67"/>
      <c r="AA55" s="67"/>
      <c r="AB55" s="67"/>
      <c r="AC55" s="67"/>
      <c r="AD55" s="67"/>
      <c r="AE55" s="271" t="str">
        <f t="shared" ref="AE55:AE72" si="56">QMSprache</f>
        <v>English</v>
      </c>
      <c r="AF55" s="271" t="str">
        <f t="shared" si="43"/>
        <v>English</v>
      </c>
      <c r="AG55" s="271" t="str">
        <f t="shared" si="44"/>
        <v>No</v>
      </c>
      <c r="AH55" s="271" t="str">
        <f t="shared" si="45"/>
        <v>No</v>
      </c>
      <c r="AI55" s="393" t="str">
        <f t="shared" si="46"/>
        <v>No</v>
      </c>
      <c r="AJ55" s="393" t="str">
        <f t="shared" si="47"/>
        <v>No</v>
      </c>
      <c r="AK55" s="393" t="str">
        <f t="shared" si="48"/>
        <v>No</v>
      </c>
      <c r="AL55" s="393" t="str">
        <f t="shared" si="49"/>
        <v>No</v>
      </c>
      <c r="AM55" s="400" t="str">
        <f t="shared" si="50"/>
        <v/>
      </c>
      <c r="AN55" s="401" t="str">
        <f t="shared" si="51"/>
        <v/>
      </c>
      <c r="AO55" s="401" t="str">
        <f t="shared" si="52"/>
        <v/>
      </c>
      <c r="AP55" s="401" t="str">
        <f t="shared" si="53"/>
        <v/>
      </c>
      <c r="AQ55" s="399">
        <f t="shared" si="54"/>
        <v>0</v>
      </c>
    </row>
    <row r="56" spans="1:43" s="138" customFormat="1" ht="12.75" customHeight="1" x14ac:dyDescent="0.2">
      <c r="A56" s="399">
        <v>34</v>
      </c>
      <c r="B56" s="308"/>
      <c r="C56" s="214" t="str">
        <f t="shared" si="37"/>
        <v/>
      </c>
      <c r="D56" s="378" t="str">
        <f t="shared" si="38"/>
        <v>?</v>
      </c>
      <c r="E56" s="394" t="str">
        <f t="shared" si="55"/>
        <v>Yes</v>
      </c>
      <c r="F56" s="380" t="str">
        <f t="shared" si="34"/>
        <v>No</v>
      </c>
      <c r="G56" s="380" t="str">
        <f t="shared" si="35"/>
        <v>No</v>
      </c>
      <c r="H56" s="380" t="str">
        <f t="shared" si="36"/>
        <v>No</v>
      </c>
      <c r="I56" s="380" t="str">
        <f t="shared" si="36"/>
        <v>Nein</v>
      </c>
      <c r="J56" s="241">
        <v>0</v>
      </c>
      <c r="K56" s="313">
        <v>0</v>
      </c>
      <c r="L56" s="397">
        <f t="shared" si="26"/>
        <v>0</v>
      </c>
      <c r="M56" s="464">
        <f t="shared" si="39"/>
        <v>0</v>
      </c>
      <c r="N56" s="215">
        <v>1</v>
      </c>
      <c r="O56" s="326">
        <f t="shared" si="27"/>
        <v>0</v>
      </c>
      <c r="P56" s="327">
        <f t="shared" si="28"/>
        <v>0</v>
      </c>
      <c r="Q56" s="397">
        <f t="shared" si="29"/>
        <v>0</v>
      </c>
      <c r="R56" s="464">
        <f t="shared" si="40"/>
        <v>0</v>
      </c>
      <c r="S56" s="328">
        <f t="shared" si="30"/>
        <v>1</v>
      </c>
      <c r="T56" s="326">
        <f t="shared" si="31"/>
        <v>0</v>
      </c>
      <c r="U56" s="327">
        <f t="shared" si="32"/>
        <v>0</v>
      </c>
      <c r="V56" s="397">
        <f t="shared" si="41"/>
        <v>0</v>
      </c>
      <c r="W56" s="464">
        <f t="shared" si="42"/>
        <v>0</v>
      </c>
      <c r="X56" s="332">
        <f t="shared" si="33"/>
        <v>1</v>
      </c>
      <c r="Y56" s="238" t="s">
        <v>45</v>
      </c>
      <c r="Z56" s="67"/>
      <c r="AA56" s="67"/>
      <c r="AB56" s="67"/>
      <c r="AC56" s="67"/>
      <c r="AD56" s="67"/>
      <c r="AE56" s="271" t="str">
        <f t="shared" si="56"/>
        <v>English</v>
      </c>
      <c r="AF56" s="271" t="str">
        <f t="shared" si="43"/>
        <v>English</v>
      </c>
      <c r="AG56" s="271" t="str">
        <f t="shared" si="44"/>
        <v>No</v>
      </c>
      <c r="AH56" s="271" t="str">
        <f t="shared" si="45"/>
        <v>No</v>
      </c>
      <c r="AI56" s="393" t="str">
        <f t="shared" si="46"/>
        <v>No</v>
      </c>
      <c r="AJ56" s="393" t="str">
        <f t="shared" si="47"/>
        <v>No</v>
      </c>
      <c r="AK56" s="393" t="str">
        <f t="shared" si="48"/>
        <v>No</v>
      </c>
      <c r="AL56" s="393" t="str">
        <f t="shared" si="49"/>
        <v>No</v>
      </c>
      <c r="AM56" s="400" t="str">
        <f t="shared" si="50"/>
        <v/>
      </c>
      <c r="AN56" s="401" t="str">
        <f t="shared" si="51"/>
        <v/>
      </c>
      <c r="AO56" s="401" t="str">
        <f t="shared" si="52"/>
        <v/>
      </c>
      <c r="AP56" s="401" t="str">
        <f t="shared" si="53"/>
        <v/>
      </c>
      <c r="AQ56" s="399">
        <f t="shared" si="54"/>
        <v>0</v>
      </c>
    </row>
    <row r="57" spans="1:43" s="138" customFormat="1" ht="12.75" customHeight="1" x14ac:dyDescent="0.2">
      <c r="A57" s="399">
        <v>35</v>
      </c>
      <c r="B57" s="308"/>
      <c r="C57" s="214" t="str">
        <f t="shared" si="37"/>
        <v/>
      </c>
      <c r="D57" s="378" t="str">
        <f t="shared" si="38"/>
        <v>?</v>
      </c>
      <c r="E57" s="394" t="str">
        <f t="shared" si="55"/>
        <v>Yes</v>
      </c>
      <c r="F57" s="380" t="str">
        <f t="shared" si="34"/>
        <v>No</v>
      </c>
      <c r="G57" s="380" t="str">
        <f t="shared" si="35"/>
        <v>No</v>
      </c>
      <c r="H57" s="380" t="str">
        <f t="shared" si="36"/>
        <v>No</v>
      </c>
      <c r="I57" s="380" t="str">
        <f t="shared" si="36"/>
        <v>Nein</v>
      </c>
      <c r="J57" s="241">
        <v>0</v>
      </c>
      <c r="K57" s="313">
        <v>0</v>
      </c>
      <c r="L57" s="397">
        <f t="shared" si="26"/>
        <v>0</v>
      </c>
      <c r="M57" s="464">
        <f t="shared" si="39"/>
        <v>0</v>
      </c>
      <c r="N57" s="215">
        <v>1</v>
      </c>
      <c r="O57" s="326">
        <f t="shared" si="27"/>
        <v>0</v>
      </c>
      <c r="P57" s="327">
        <f t="shared" si="28"/>
        <v>0</v>
      </c>
      <c r="Q57" s="397">
        <f t="shared" si="29"/>
        <v>0</v>
      </c>
      <c r="R57" s="464">
        <f t="shared" si="40"/>
        <v>0</v>
      </c>
      <c r="S57" s="328">
        <f t="shared" si="30"/>
        <v>1</v>
      </c>
      <c r="T57" s="326">
        <f t="shared" si="31"/>
        <v>0</v>
      </c>
      <c r="U57" s="327">
        <f t="shared" si="32"/>
        <v>0</v>
      </c>
      <c r="V57" s="397">
        <f t="shared" si="41"/>
        <v>0</v>
      </c>
      <c r="W57" s="464">
        <f t="shared" si="42"/>
        <v>0</v>
      </c>
      <c r="X57" s="332">
        <f t="shared" si="33"/>
        <v>1</v>
      </c>
      <c r="Y57" s="238" t="s">
        <v>45</v>
      </c>
      <c r="Z57" s="67"/>
      <c r="AA57" s="67"/>
      <c r="AB57" s="67"/>
      <c r="AC57" s="67"/>
      <c r="AD57" s="67"/>
      <c r="AE57" s="271" t="str">
        <f t="shared" si="56"/>
        <v>English</v>
      </c>
      <c r="AF57" s="271" t="str">
        <f t="shared" si="43"/>
        <v>English</v>
      </c>
      <c r="AG57" s="271" t="str">
        <f t="shared" si="44"/>
        <v>No</v>
      </c>
      <c r="AH57" s="271" t="str">
        <f t="shared" si="45"/>
        <v>No</v>
      </c>
      <c r="AI57" s="393" t="str">
        <f t="shared" si="46"/>
        <v>No</v>
      </c>
      <c r="AJ57" s="393" t="str">
        <f t="shared" si="47"/>
        <v>No</v>
      </c>
      <c r="AK57" s="393" t="str">
        <f t="shared" si="48"/>
        <v>No</v>
      </c>
      <c r="AL57" s="393" t="str">
        <f t="shared" si="49"/>
        <v>No</v>
      </c>
      <c r="AM57" s="400" t="str">
        <f t="shared" si="50"/>
        <v/>
      </c>
      <c r="AN57" s="401" t="str">
        <f t="shared" si="51"/>
        <v/>
      </c>
      <c r="AO57" s="401" t="str">
        <f t="shared" si="52"/>
        <v/>
      </c>
      <c r="AP57" s="401" t="str">
        <f t="shared" si="53"/>
        <v/>
      </c>
      <c r="AQ57" s="399">
        <f t="shared" si="54"/>
        <v>0</v>
      </c>
    </row>
    <row r="58" spans="1:43" s="138" customFormat="1" ht="12.75" customHeight="1" x14ac:dyDescent="0.2">
      <c r="A58" s="399">
        <v>36</v>
      </c>
      <c r="B58" s="308"/>
      <c r="C58" s="214" t="str">
        <f t="shared" si="37"/>
        <v/>
      </c>
      <c r="D58" s="378" t="str">
        <f t="shared" si="38"/>
        <v>?</v>
      </c>
      <c r="E58" s="394" t="str">
        <f t="shared" si="55"/>
        <v>Yes</v>
      </c>
      <c r="F58" s="380" t="str">
        <f t="shared" si="34"/>
        <v>No</v>
      </c>
      <c r="G58" s="380" t="str">
        <f t="shared" si="35"/>
        <v>No</v>
      </c>
      <c r="H58" s="380" t="str">
        <f t="shared" si="36"/>
        <v>No</v>
      </c>
      <c r="I58" s="380" t="str">
        <f t="shared" si="36"/>
        <v>Nein</v>
      </c>
      <c r="J58" s="241">
        <v>0</v>
      </c>
      <c r="K58" s="313">
        <v>0</v>
      </c>
      <c r="L58" s="397">
        <f t="shared" si="26"/>
        <v>0</v>
      </c>
      <c r="M58" s="464">
        <f t="shared" si="39"/>
        <v>0</v>
      </c>
      <c r="N58" s="215">
        <v>1</v>
      </c>
      <c r="O58" s="326">
        <f t="shared" si="27"/>
        <v>0</v>
      </c>
      <c r="P58" s="327">
        <f t="shared" si="28"/>
        <v>0</v>
      </c>
      <c r="Q58" s="397">
        <f t="shared" si="29"/>
        <v>0</v>
      </c>
      <c r="R58" s="464">
        <f t="shared" si="40"/>
        <v>0</v>
      </c>
      <c r="S58" s="328">
        <f t="shared" si="30"/>
        <v>1</v>
      </c>
      <c r="T58" s="326">
        <f t="shared" si="31"/>
        <v>0</v>
      </c>
      <c r="U58" s="327">
        <f t="shared" si="32"/>
        <v>0</v>
      </c>
      <c r="V58" s="397">
        <f t="shared" si="41"/>
        <v>0</v>
      </c>
      <c r="W58" s="464">
        <f t="shared" si="42"/>
        <v>0</v>
      </c>
      <c r="X58" s="332">
        <f t="shared" si="33"/>
        <v>1</v>
      </c>
      <c r="Y58" s="238" t="s">
        <v>45</v>
      </c>
      <c r="Z58" s="67"/>
      <c r="AA58" s="67"/>
      <c r="AB58" s="67"/>
      <c r="AC58" s="67"/>
      <c r="AD58" s="67"/>
      <c r="AE58" s="271" t="str">
        <f t="shared" si="56"/>
        <v>English</v>
      </c>
      <c r="AF58" s="271" t="str">
        <f t="shared" si="43"/>
        <v>English</v>
      </c>
      <c r="AG58" s="271" t="str">
        <f t="shared" si="44"/>
        <v>No</v>
      </c>
      <c r="AH58" s="271" t="str">
        <f t="shared" si="45"/>
        <v>No</v>
      </c>
      <c r="AI58" s="393" t="str">
        <f t="shared" si="46"/>
        <v>No</v>
      </c>
      <c r="AJ58" s="393" t="str">
        <f t="shared" si="47"/>
        <v>No</v>
      </c>
      <c r="AK58" s="393" t="str">
        <f t="shared" si="48"/>
        <v>No</v>
      </c>
      <c r="AL58" s="393" t="str">
        <f t="shared" si="49"/>
        <v>No</v>
      </c>
      <c r="AM58" s="400" t="str">
        <f t="shared" si="50"/>
        <v/>
      </c>
      <c r="AN58" s="401" t="str">
        <f t="shared" si="51"/>
        <v/>
      </c>
      <c r="AO58" s="401" t="str">
        <f t="shared" si="52"/>
        <v/>
      </c>
      <c r="AP58" s="401" t="str">
        <f t="shared" si="53"/>
        <v/>
      </c>
      <c r="AQ58" s="399">
        <f t="shared" si="54"/>
        <v>0</v>
      </c>
    </row>
    <row r="59" spans="1:43" s="138" customFormat="1" ht="12.75" customHeight="1" x14ac:dyDescent="0.2">
      <c r="A59" s="399">
        <v>37</v>
      </c>
      <c r="B59" s="308"/>
      <c r="C59" s="214" t="str">
        <f t="shared" si="37"/>
        <v/>
      </c>
      <c r="D59" s="378" t="str">
        <f t="shared" si="38"/>
        <v>?</v>
      </c>
      <c r="E59" s="394" t="str">
        <f t="shared" si="55"/>
        <v>Yes</v>
      </c>
      <c r="F59" s="380" t="str">
        <f t="shared" si="34"/>
        <v>No</v>
      </c>
      <c r="G59" s="380" t="str">
        <f t="shared" si="35"/>
        <v>No</v>
      </c>
      <c r="H59" s="380" t="str">
        <f t="shared" si="36"/>
        <v>No</v>
      </c>
      <c r="I59" s="380" t="str">
        <f t="shared" si="36"/>
        <v>Nein</v>
      </c>
      <c r="J59" s="241">
        <v>0</v>
      </c>
      <c r="K59" s="313">
        <v>0</v>
      </c>
      <c r="L59" s="397">
        <f t="shared" si="26"/>
        <v>0</v>
      </c>
      <c r="M59" s="464">
        <f t="shared" si="39"/>
        <v>0</v>
      </c>
      <c r="N59" s="215">
        <v>1</v>
      </c>
      <c r="O59" s="326">
        <f t="shared" si="27"/>
        <v>0</v>
      </c>
      <c r="P59" s="327">
        <f t="shared" si="28"/>
        <v>0</v>
      </c>
      <c r="Q59" s="397">
        <f t="shared" si="29"/>
        <v>0</v>
      </c>
      <c r="R59" s="464">
        <f t="shared" si="40"/>
        <v>0</v>
      </c>
      <c r="S59" s="328">
        <f t="shared" si="30"/>
        <v>1</v>
      </c>
      <c r="T59" s="326">
        <f t="shared" si="31"/>
        <v>0</v>
      </c>
      <c r="U59" s="327">
        <f t="shared" si="32"/>
        <v>0</v>
      </c>
      <c r="V59" s="397">
        <f t="shared" si="41"/>
        <v>0</v>
      </c>
      <c r="W59" s="464">
        <f t="shared" si="42"/>
        <v>0</v>
      </c>
      <c r="X59" s="332">
        <f t="shared" si="33"/>
        <v>1</v>
      </c>
      <c r="Y59" s="238" t="s">
        <v>45</v>
      </c>
      <c r="Z59" s="67"/>
      <c r="AA59" s="67"/>
      <c r="AB59" s="67"/>
      <c r="AC59" s="67"/>
      <c r="AD59" s="67"/>
      <c r="AE59" s="271" t="str">
        <f t="shared" si="56"/>
        <v>English</v>
      </c>
      <c r="AF59" s="271" t="str">
        <f t="shared" si="43"/>
        <v>English</v>
      </c>
      <c r="AG59" s="271" t="str">
        <f t="shared" si="44"/>
        <v>No</v>
      </c>
      <c r="AH59" s="271" t="str">
        <f t="shared" si="45"/>
        <v>No</v>
      </c>
      <c r="AI59" s="393" t="str">
        <f t="shared" si="46"/>
        <v>No</v>
      </c>
      <c r="AJ59" s="393" t="str">
        <f t="shared" si="47"/>
        <v>No</v>
      </c>
      <c r="AK59" s="393" t="str">
        <f t="shared" si="48"/>
        <v>No</v>
      </c>
      <c r="AL59" s="393" t="str">
        <f t="shared" si="49"/>
        <v>No</v>
      </c>
      <c r="AM59" s="400" t="str">
        <f t="shared" si="50"/>
        <v/>
      </c>
      <c r="AN59" s="401" t="str">
        <f t="shared" si="51"/>
        <v/>
      </c>
      <c r="AO59" s="401" t="str">
        <f t="shared" si="52"/>
        <v/>
      </c>
      <c r="AP59" s="401" t="str">
        <f t="shared" si="53"/>
        <v/>
      </c>
      <c r="AQ59" s="399">
        <f t="shared" si="54"/>
        <v>0</v>
      </c>
    </row>
    <row r="60" spans="1:43" s="138" customFormat="1" ht="12.75" customHeight="1" x14ac:dyDescent="0.2">
      <c r="A60" s="399">
        <v>38</v>
      </c>
      <c r="B60" s="308"/>
      <c r="C60" s="214" t="str">
        <f t="shared" si="37"/>
        <v/>
      </c>
      <c r="D60" s="378" t="str">
        <f t="shared" si="38"/>
        <v>?</v>
      </c>
      <c r="E60" s="394" t="str">
        <f t="shared" si="55"/>
        <v>Yes</v>
      </c>
      <c r="F60" s="380" t="str">
        <f t="shared" si="34"/>
        <v>No</v>
      </c>
      <c r="G60" s="380" t="str">
        <f t="shared" si="35"/>
        <v>No</v>
      </c>
      <c r="H60" s="380" t="str">
        <f t="shared" si="36"/>
        <v>No</v>
      </c>
      <c r="I60" s="380" t="str">
        <f t="shared" si="36"/>
        <v>Nein</v>
      </c>
      <c r="J60" s="241">
        <v>0</v>
      </c>
      <c r="K60" s="313">
        <v>0</v>
      </c>
      <c r="L60" s="397">
        <f t="shared" si="26"/>
        <v>0</v>
      </c>
      <c r="M60" s="464">
        <f t="shared" si="39"/>
        <v>0</v>
      </c>
      <c r="N60" s="215">
        <v>1</v>
      </c>
      <c r="O60" s="326">
        <f t="shared" si="27"/>
        <v>0</v>
      </c>
      <c r="P60" s="327">
        <f t="shared" si="28"/>
        <v>0</v>
      </c>
      <c r="Q60" s="397">
        <f t="shared" si="29"/>
        <v>0</v>
      </c>
      <c r="R60" s="464">
        <f t="shared" si="40"/>
        <v>0</v>
      </c>
      <c r="S60" s="328">
        <f t="shared" si="30"/>
        <v>1</v>
      </c>
      <c r="T60" s="326">
        <f t="shared" si="31"/>
        <v>0</v>
      </c>
      <c r="U60" s="327">
        <f t="shared" si="32"/>
        <v>0</v>
      </c>
      <c r="V60" s="397">
        <f t="shared" si="41"/>
        <v>0</v>
      </c>
      <c r="W60" s="464">
        <f t="shared" si="42"/>
        <v>0</v>
      </c>
      <c r="X60" s="332">
        <f t="shared" si="33"/>
        <v>1</v>
      </c>
      <c r="Y60" s="238" t="s">
        <v>45</v>
      </c>
      <c r="Z60" s="67"/>
      <c r="AA60" s="67"/>
      <c r="AB60" s="67"/>
      <c r="AC60" s="67"/>
      <c r="AD60" s="67"/>
      <c r="AE60" s="271" t="str">
        <f t="shared" si="56"/>
        <v>English</v>
      </c>
      <c r="AF60" s="271" t="str">
        <f t="shared" si="43"/>
        <v>English</v>
      </c>
      <c r="AG60" s="271" t="str">
        <f t="shared" si="44"/>
        <v>No</v>
      </c>
      <c r="AH60" s="271" t="str">
        <f t="shared" si="45"/>
        <v>No</v>
      </c>
      <c r="AI60" s="393" t="str">
        <f t="shared" si="46"/>
        <v>No</v>
      </c>
      <c r="AJ60" s="393" t="str">
        <f t="shared" si="47"/>
        <v>No</v>
      </c>
      <c r="AK60" s="393" t="str">
        <f t="shared" si="48"/>
        <v>No</v>
      </c>
      <c r="AL60" s="393" t="str">
        <f t="shared" si="49"/>
        <v>No</v>
      </c>
      <c r="AM60" s="400" t="str">
        <f t="shared" si="50"/>
        <v/>
      </c>
      <c r="AN60" s="401" t="str">
        <f t="shared" si="51"/>
        <v/>
      </c>
      <c r="AO60" s="401" t="str">
        <f t="shared" si="52"/>
        <v/>
      </c>
      <c r="AP60" s="401" t="str">
        <f t="shared" si="53"/>
        <v/>
      </c>
      <c r="AQ60" s="399">
        <f t="shared" si="54"/>
        <v>0</v>
      </c>
    </row>
    <row r="61" spans="1:43" s="138" customFormat="1" ht="12.75" customHeight="1" x14ac:dyDescent="0.2">
      <c r="A61" s="399">
        <v>39</v>
      </c>
      <c r="B61" s="308"/>
      <c r="C61" s="214" t="str">
        <f t="shared" si="37"/>
        <v/>
      </c>
      <c r="D61" s="378" t="str">
        <f t="shared" si="38"/>
        <v>?</v>
      </c>
      <c r="E61" s="394" t="str">
        <f t="shared" si="55"/>
        <v>Yes</v>
      </c>
      <c r="F61" s="380" t="str">
        <f t="shared" si="34"/>
        <v>No</v>
      </c>
      <c r="G61" s="380" t="str">
        <f t="shared" si="35"/>
        <v>No</v>
      </c>
      <c r="H61" s="380" t="str">
        <f t="shared" si="36"/>
        <v>No</v>
      </c>
      <c r="I61" s="380" t="str">
        <f t="shared" si="36"/>
        <v>Nein</v>
      </c>
      <c r="J61" s="241">
        <v>0</v>
      </c>
      <c r="K61" s="313">
        <v>0</v>
      </c>
      <c r="L61" s="397">
        <f t="shared" si="26"/>
        <v>0</v>
      </c>
      <c r="M61" s="464">
        <f t="shared" si="39"/>
        <v>0</v>
      </c>
      <c r="N61" s="215">
        <v>1</v>
      </c>
      <c r="O61" s="326">
        <f t="shared" si="27"/>
        <v>0</v>
      </c>
      <c r="P61" s="327">
        <f t="shared" si="28"/>
        <v>0</v>
      </c>
      <c r="Q61" s="397">
        <f t="shared" si="29"/>
        <v>0</v>
      </c>
      <c r="R61" s="464">
        <f t="shared" si="40"/>
        <v>0</v>
      </c>
      <c r="S61" s="328">
        <f t="shared" si="30"/>
        <v>1</v>
      </c>
      <c r="T61" s="326">
        <f t="shared" si="31"/>
        <v>0</v>
      </c>
      <c r="U61" s="327">
        <f t="shared" si="32"/>
        <v>0</v>
      </c>
      <c r="V61" s="397">
        <f t="shared" si="41"/>
        <v>0</v>
      </c>
      <c r="W61" s="464">
        <f t="shared" si="42"/>
        <v>0</v>
      </c>
      <c r="X61" s="332">
        <f t="shared" si="33"/>
        <v>1</v>
      </c>
      <c r="Y61" s="238" t="s">
        <v>45</v>
      </c>
      <c r="Z61" s="67"/>
      <c r="AA61" s="67"/>
      <c r="AB61" s="67"/>
      <c r="AC61" s="67"/>
      <c r="AD61" s="67"/>
      <c r="AE61" s="271" t="str">
        <f t="shared" si="56"/>
        <v>English</v>
      </c>
      <c r="AF61" s="271" t="str">
        <f t="shared" si="43"/>
        <v>English</v>
      </c>
      <c r="AG61" s="271" t="str">
        <f t="shared" si="44"/>
        <v>No</v>
      </c>
      <c r="AH61" s="271" t="str">
        <f t="shared" si="45"/>
        <v>No</v>
      </c>
      <c r="AI61" s="393" t="str">
        <f t="shared" si="46"/>
        <v>No</v>
      </c>
      <c r="AJ61" s="393" t="str">
        <f t="shared" si="47"/>
        <v>No</v>
      </c>
      <c r="AK61" s="393" t="str">
        <f t="shared" si="48"/>
        <v>No</v>
      </c>
      <c r="AL61" s="393" t="str">
        <f t="shared" si="49"/>
        <v>No</v>
      </c>
      <c r="AM61" s="400" t="str">
        <f t="shared" si="50"/>
        <v/>
      </c>
      <c r="AN61" s="401" t="str">
        <f t="shared" si="51"/>
        <v/>
      </c>
      <c r="AO61" s="401" t="str">
        <f t="shared" si="52"/>
        <v/>
      </c>
      <c r="AP61" s="401" t="str">
        <f t="shared" si="53"/>
        <v/>
      </c>
      <c r="AQ61" s="399">
        <f t="shared" si="54"/>
        <v>0</v>
      </c>
    </row>
    <row r="62" spans="1:43" s="138" customFormat="1" ht="12.75" customHeight="1" x14ac:dyDescent="0.2">
      <c r="A62" s="399">
        <v>40</v>
      </c>
      <c r="B62" s="308"/>
      <c r="C62" s="214" t="str">
        <f t="shared" si="37"/>
        <v/>
      </c>
      <c r="D62" s="378" t="str">
        <f t="shared" si="38"/>
        <v>?</v>
      </c>
      <c r="E62" s="394" t="str">
        <f t="shared" si="55"/>
        <v>Yes</v>
      </c>
      <c r="F62" s="380" t="str">
        <f t="shared" si="34"/>
        <v>No</v>
      </c>
      <c r="G62" s="380" t="str">
        <f t="shared" si="35"/>
        <v>No</v>
      </c>
      <c r="H62" s="380" t="str">
        <f t="shared" si="36"/>
        <v>No</v>
      </c>
      <c r="I62" s="380" t="str">
        <f t="shared" si="36"/>
        <v>Nein</v>
      </c>
      <c r="J62" s="241">
        <v>0</v>
      </c>
      <c r="K62" s="313">
        <v>0</v>
      </c>
      <c r="L62" s="397">
        <f t="shared" si="26"/>
        <v>0</v>
      </c>
      <c r="M62" s="464">
        <f t="shared" si="39"/>
        <v>0</v>
      </c>
      <c r="N62" s="215">
        <v>1</v>
      </c>
      <c r="O62" s="326">
        <f t="shared" si="27"/>
        <v>0</v>
      </c>
      <c r="P62" s="327">
        <f t="shared" si="28"/>
        <v>0</v>
      </c>
      <c r="Q62" s="397">
        <f t="shared" si="29"/>
        <v>0</v>
      </c>
      <c r="R62" s="464">
        <f t="shared" si="40"/>
        <v>0</v>
      </c>
      <c r="S62" s="328">
        <f t="shared" si="30"/>
        <v>1</v>
      </c>
      <c r="T62" s="326">
        <f t="shared" si="31"/>
        <v>0</v>
      </c>
      <c r="U62" s="327">
        <f t="shared" si="32"/>
        <v>0</v>
      </c>
      <c r="V62" s="397">
        <f t="shared" si="41"/>
        <v>0</v>
      </c>
      <c r="W62" s="464">
        <f t="shared" si="42"/>
        <v>0</v>
      </c>
      <c r="X62" s="332">
        <f t="shared" si="33"/>
        <v>1</v>
      </c>
      <c r="Y62" s="238" t="s">
        <v>45</v>
      </c>
      <c r="Z62" s="67"/>
      <c r="AA62" s="67"/>
      <c r="AB62" s="67"/>
      <c r="AC62" s="67"/>
      <c r="AD62" s="67"/>
      <c r="AE62" s="271" t="str">
        <f t="shared" si="56"/>
        <v>English</v>
      </c>
      <c r="AF62" s="271" t="str">
        <f t="shared" si="43"/>
        <v>English</v>
      </c>
      <c r="AG62" s="271" t="str">
        <f t="shared" si="44"/>
        <v>No</v>
      </c>
      <c r="AH62" s="271" t="str">
        <f t="shared" si="45"/>
        <v>No</v>
      </c>
      <c r="AI62" s="393" t="str">
        <f t="shared" si="46"/>
        <v>No</v>
      </c>
      <c r="AJ62" s="393" t="str">
        <f t="shared" si="47"/>
        <v>No</v>
      </c>
      <c r="AK62" s="393" t="str">
        <f t="shared" si="48"/>
        <v>No</v>
      </c>
      <c r="AL62" s="393" t="str">
        <f t="shared" si="49"/>
        <v>No</v>
      </c>
      <c r="AM62" s="400" t="str">
        <f t="shared" si="50"/>
        <v/>
      </c>
      <c r="AN62" s="401" t="str">
        <f t="shared" si="51"/>
        <v/>
      </c>
      <c r="AO62" s="401" t="str">
        <f t="shared" si="52"/>
        <v/>
      </c>
      <c r="AP62" s="401" t="str">
        <f t="shared" si="53"/>
        <v/>
      </c>
      <c r="AQ62" s="399">
        <f t="shared" si="54"/>
        <v>0</v>
      </c>
    </row>
    <row r="63" spans="1:43" s="138" customFormat="1" ht="12.75" customHeight="1" x14ac:dyDescent="0.2">
      <c r="A63" s="399">
        <v>41</v>
      </c>
      <c r="B63" s="308"/>
      <c r="C63" s="214" t="str">
        <f t="shared" si="37"/>
        <v/>
      </c>
      <c r="D63" s="378" t="str">
        <f t="shared" si="38"/>
        <v>?</v>
      </c>
      <c r="E63" s="394" t="str">
        <f t="shared" si="55"/>
        <v>Yes</v>
      </c>
      <c r="F63" s="380" t="str">
        <f t="shared" si="34"/>
        <v>No</v>
      </c>
      <c r="G63" s="380" t="str">
        <f t="shared" si="35"/>
        <v>No</v>
      </c>
      <c r="H63" s="380" t="str">
        <f t="shared" si="36"/>
        <v>No</v>
      </c>
      <c r="I63" s="380" t="str">
        <f t="shared" si="36"/>
        <v>Nein</v>
      </c>
      <c r="J63" s="241">
        <v>0</v>
      </c>
      <c r="K63" s="313">
        <v>0</v>
      </c>
      <c r="L63" s="397">
        <f t="shared" si="26"/>
        <v>0</v>
      </c>
      <c r="M63" s="464">
        <f t="shared" si="39"/>
        <v>0</v>
      </c>
      <c r="N63" s="215">
        <v>1</v>
      </c>
      <c r="O63" s="326">
        <f t="shared" si="27"/>
        <v>0</v>
      </c>
      <c r="P63" s="327">
        <f t="shared" si="28"/>
        <v>0</v>
      </c>
      <c r="Q63" s="397">
        <f t="shared" si="29"/>
        <v>0</v>
      </c>
      <c r="R63" s="464">
        <f t="shared" si="40"/>
        <v>0</v>
      </c>
      <c r="S63" s="328">
        <f t="shared" si="30"/>
        <v>1</v>
      </c>
      <c r="T63" s="326">
        <f t="shared" si="31"/>
        <v>0</v>
      </c>
      <c r="U63" s="327">
        <f t="shared" si="32"/>
        <v>0</v>
      </c>
      <c r="V63" s="397">
        <f t="shared" si="41"/>
        <v>0</v>
      </c>
      <c r="W63" s="464">
        <f t="shared" si="42"/>
        <v>0</v>
      </c>
      <c r="X63" s="332">
        <f t="shared" si="33"/>
        <v>1</v>
      </c>
      <c r="Y63" s="238" t="s">
        <v>45</v>
      </c>
      <c r="Z63" s="67"/>
      <c r="AA63" s="67"/>
      <c r="AB63" s="67"/>
      <c r="AC63" s="67"/>
      <c r="AD63" s="67"/>
      <c r="AE63" s="271" t="str">
        <f t="shared" si="56"/>
        <v>English</v>
      </c>
      <c r="AF63" s="271" t="str">
        <f t="shared" si="43"/>
        <v>English</v>
      </c>
      <c r="AG63" s="271" t="str">
        <f t="shared" si="44"/>
        <v>No</v>
      </c>
      <c r="AH63" s="271" t="str">
        <f t="shared" si="45"/>
        <v>No</v>
      </c>
      <c r="AI63" s="393" t="str">
        <f t="shared" si="46"/>
        <v>No</v>
      </c>
      <c r="AJ63" s="393" t="str">
        <f t="shared" si="47"/>
        <v>No</v>
      </c>
      <c r="AK63" s="393" t="str">
        <f t="shared" si="48"/>
        <v>No</v>
      </c>
      <c r="AL63" s="393" t="str">
        <f t="shared" si="49"/>
        <v>No</v>
      </c>
      <c r="AM63" s="400" t="str">
        <f t="shared" si="50"/>
        <v/>
      </c>
      <c r="AN63" s="401" t="str">
        <f t="shared" si="51"/>
        <v/>
      </c>
      <c r="AO63" s="401" t="str">
        <f t="shared" si="52"/>
        <v/>
      </c>
      <c r="AP63" s="401" t="str">
        <f t="shared" si="53"/>
        <v/>
      </c>
      <c r="AQ63" s="399">
        <f t="shared" si="54"/>
        <v>0</v>
      </c>
    </row>
    <row r="64" spans="1:43" s="138" customFormat="1" ht="12.75" customHeight="1" x14ac:dyDescent="0.2">
      <c r="A64" s="399">
        <v>42</v>
      </c>
      <c r="B64" s="308"/>
      <c r="C64" s="214" t="str">
        <f t="shared" si="37"/>
        <v/>
      </c>
      <c r="D64" s="378" t="str">
        <f t="shared" si="38"/>
        <v>?</v>
      </c>
      <c r="E64" s="394" t="str">
        <f t="shared" si="55"/>
        <v>Yes</v>
      </c>
      <c r="F64" s="380" t="str">
        <f t="shared" si="34"/>
        <v>No</v>
      </c>
      <c r="G64" s="380" t="str">
        <f t="shared" si="35"/>
        <v>No</v>
      </c>
      <c r="H64" s="380" t="str">
        <f t="shared" si="36"/>
        <v>No</v>
      </c>
      <c r="I64" s="380" t="str">
        <f t="shared" si="36"/>
        <v>Nein</v>
      </c>
      <c r="J64" s="241">
        <v>0</v>
      </c>
      <c r="K64" s="313">
        <v>0</v>
      </c>
      <c r="L64" s="397">
        <f t="shared" si="26"/>
        <v>0</v>
      </c>
      <c r="M64" s="464">
        <f t="shared" si="39"/>
        <v>0</v>
      </c>
      <c r="N64" s="215">
        <v>1</v>
      </c>
      <c r="O64" s="326">
        <f t="shared" si="27"/>
        <v>0</v>
      </c>
      <c r="P64" s="327">
        <f t="shared" si="28"/>
        <v>0</v>
      </c>
      <c r="Q64" s="397">
        <f t="shared" si="29"/>
        <v>0</v>
      </c>
      <c r="R64" s="464">
        <f t="shared" si="40"/>
        <v>0</v>
      </c>
      <c r="S64" s="328">
        <f t="shared" si="30"/>
        <v>1</v>
      </c>
      <c r="T64" s="326">
        <f t="shared" si="31"/>
        <v>0</v>
      </c>
      <c r="U64" s="327">
        <f t="shared" si="32"/>
        <v>0</v>
      </c>
      <c r="V64" s="397">
        <f t="shared" si="41"/>
        <v>0</v>
      </c>
      <c r="W64" s="464">
        <f t="shared" si="42"/>
        <v>0</v>
      </c>
      <c r="X64" s="332">
        <f t="shared" si="33"/>
        <v>1</v>
      </c>
      <c r="Y64" s="238" t="s">
        <v>45</v>
      </c>
      <c r="Z64" s="67"/>
      <c r="AA64" s="67"/>
      <c r="AB64" s="67"/>
      <c r="AC64" s="67"/>
      <c r="AD64" s="67"/>
      <c r="AE64" s="271" t="str">
        <f t="shared" si="56"/>
        <v>English</v>
      </c>
      <c r="AF64" s="271" t="str">
        <f t="shared" si="43"/>
        <v>English</v>
      </c>
      <c r="AG64" s="271" t="str">
        <f t="shared" si="44"/>
        <v>No</v>
      </c>
      <c r="AH64" s="271" t="str">
        <f t="shared" si="45"/>
        <v>No</v>
      </c>
      <c r="AI64" s="393" t="str">
        <f t="shared" si="46"/>
        <v>No</v>
      </c>
      <c r="AJ64" s="393" t="str">
        <f t="shared" si="47"/>
        <v>No</v>
      </c>
      <c r="AK64" s="393" t="str">
        <f t="shared" si="48"/>
        <v>No</v>
      </c>
      <c r="AL64" s="393" t="str">
        <f t="shared" si="49"/>
        <v>No</v>
      </c>
      <c r="AM64" s="400" t="str">
        <f t="shared" si="50"/>
        <v/>
      </c>
      <c r="AN64" s="401" t="str">
        <f t="shared" si="51"/>
        <v/>
      </c>
      <c r="AO64" s="401" t="str">
        <f t="shared" si="52"/>
        <v/>
      </c>
      <c r="AP64" s="401" t="str">
        <f t="shared" si="53"/>
        <v/>
      </c>
      <c r="AQ64" s="399">
        <f t="shared" si="54"/>
        <v>0</v>
      </c>
    </row>
    <row r="65" spans="1:43" s="138" customFormat="1" ht="12.75" customHeight="1" x14ac:dyDescent="0.2">
      <c r="A65" s="399">
        <v>43</v>
      </c>
      <c r="B65" s="308"/>
      <c r="C65" s="214" t="str">
        <f t="shared" si="37"/>
        <v/>
      </c>
      <c r="D65" s="378" t="str">
        <f t="shared" si="38"/>
        <v>?</v>
      </c>
      <c r="E65" s="394" t="str">
        <f t="shared" si="55"/>
        <v>Yes</v>
      </c>
      <c r="F65" s="380" t="str">
        <f t="shared" si="34"/>
        <v>No</v>
      </c>
      <c r="G65" s="380" t="str">
        <f t="shared" si="35"/>
        <v>No</v>
      </c>
      <c r="H65" s="380" t="str">
        <f t="shared" si="36"/>
        <v>No</v>
      </c>
      <c r="I65" s="380" t="str">
        <f t="shared" si="36"/>
        <v>Nein</v>
      </c>
      <c r="J65" s="241">
        <v>0</v>
      </c>
      <c r="K65" s="313">
        <v>0</v>
      </c>
      <c r="L65" s="397">
        <f t="shared" si="26"/>
        <v>0</v>
      </c>
      <c r="M65" s="464">
        <f t="shared" si="39"/>
        <v>0</v>
      </c>
      <c r="N65" s="215">
        <v>1</v>
      </c>
      <c r="O65" s="326">
        <f t="shared" si="27"/>
        <v>0</v>
      </c>
      <c r="P65" s="327">
        <f t="shared" si="28"/>
        <v>0</v>
      </c>
      <c r="Q65" s="397">
        <f t="shared" si="29"/>
        <v>0</v>
      </c>
      <c r="R65" s="464">
        <f t="shared" si="40"/>
        <v>0</v>
      </c>
      <c r="S65" s="328">
        <f t="shared" si="30"/>
        <v>1</v>
      </c>
      <c r="T65" s="326">
        <f t="shared" si="31"/>
        <v>0</v>
      </c>
      <c r="U65" s="327">
        <f t="shared" si="32"/>
        <v>0</v>
      </c>
      <c r="V65" s="397">
        <f t="shared" si="41"/>
        <v>0</v>
      </c>
      <c r="W65" s="464">
        <f t="shared" si="42"/>
        <v>0</v>
      </c>
      <c r="X65" s="332">
        <f t="shared" si="33"/>
        <v>1</v>
      </c>
      <c r="Y65" s="238" t="s">
        <v>45</v>
      </c>
      <c r="Z65" s="67"/>
      <c r="AA65" s="67"/>
      <c r="AB65" s="67"/>
      <c r="AC65" s="67"/>
      <c r="AD65" s="67"/>
      <c r="AE65" s="271" t="str">
        <f t="shared" si="56"/>
        <v>English</v>
      </c>
      <c r="AF65" s="271" t="str">
        <f t="shared" si="43"/>
        <v>English</v>
      </c>
      <c r="AG65" s="271" t="str">
        <f t="shared" si="44"/>
        <v>No</v>
      </c>
      <c r="AH65" s="271" t="str">
        <f t="shared" si="45"/>
        <v>No</v>
      </c>
      <c r="AI65" s="393" t="str">
        <f t="shared" si="46"/>
        <v>No</v>
      </c>
      <c r="AJ65" s="393" t="str">
        <f t="shared" si="47"/>
        <v>No</v>
      </c>
      <c r="AK65" s="393" t="str">
        <f t="shared" si="48"/>
        <v>No</v>
      </c>
      <c r="AL65" s="393" t="str">
        <f t="shared" si="49"/>
        <v>No</v>
      </c>
      <c r="AM65" s="400" t="str">
        <f t="shared" si="50"/>
        <v/>
      </c>
      <c r="AN65" s="401" t="str">
        <f t="shared" si="51"/>
        <v/>
      </c>
      <c r="AO65" s="401" t="str">
        <f t="shared" si="52"/>
        <v/>
      </c>
      <c r="AP65" s="401" t="str">
        <f t="shared" si="53"/>
        <v/>
      </c>
      <c r="AQ65" s="399">
        <f t="shared" si="54"/>
        <v>0</v>
      </c>
    </row>
    <row r="66" spans="1:43" s="138" customFormat="1" ht="12.75" customHeight="1" x14ac:dyDescent="0.2">
      <c r="A66" s="399">
        <v>44</v>
      </c>
      <c r="B66" s="308"/>
      <c r="C66" s="214" t="str">
        <f t="shared" si="37"/>
        <v/>
      </c>
      <c r="D66" s="378" t="str">
        <f t="shared" si="38"/>
        <v>?</v>
      </c>
      <c r="E66" s="394" t="str">
        <f t="shared" si="55"/>
        <v>Yes</v>
      </c>
      <c r="F66" s="380" t="str">
        <f t="shared" si="34"/>
        <v>No</v>
      </c>
      <c r="G66" s="380" t="str">
        <f t="shared" si="35"/>
        <v>No</v>
      </c>
      <c r="H66" s="380" t="str">
        <f t="shared" si="36"/>
        <v>No</v>
      </c>
      <c r="I66" s="380" t="str">
        <f t="shared" si="36"/>
        <v>Nein</v>
      </c>
      <c r="J66" s="241">
        <v>0</v>
      </c>
      <c r="K66" s="313">
        <v>0</v>
      </c>
      <c r="L66" s="397">
        <f t="shared" si="26"/>
        <v>0</v>
      </c>
      <c r="M66" s="464">
        <f t="shared" si="39"/>
        <v>0</v>
      </c>
      <c r="N66" s="215">
        <v>1</v>
      </c>
      <c r="O66" s="326">
        <f t="shared" si="27"/>
        <v>0</v>
      </c>
      <c r="P66" s="327">
        <f t="shared" si="28"/>
        <v>0</v>
      </c>
      <c r="Q66" s="397">
        <f t="shared" si="29"/>
        <v>0</v>
      </c>
      <c r="R66" s="464">
        <f t="shared" si="40"/>
        <v>0</v>
      </c>
      <c r="S66" s="328">
        <f t="shared" si="30"/>
        <v>1</v>
      </c>
      <c r="T66" s="326">
        <f t="shared" si="31"/>
        <v>0</v>
      </c>
      <c r="U66" s="327">
        <f t="shared" si="32"/>
        <v>0</v>
      </c>
      <c r="V66" s="397">
        <f t="shared" si="41"/>
        <v>0</v>
      </c>
      <c r="W66" s="464">
        <f t="shared" si="42"/>
        <v>0</v>
      </c>
      <c r="X66" s="332">
        <f t="shared" si="33"/>
        <v>1</v>
      </c>
      <c r="Y66" s="238" t="s">
        <v>45</v>
      </c>
      <c r="Z66" s="67"/>
      <c r="AA66" s="67"/>
      <c r="AB66" s="67"/>
      <c r="AC66" s="67"/>
      <c r="AD66" s="67"/>
      <c r="AE66" s="271" t="str">
        <f t="shared" si="56"/>
        <v>English</v>
      </c>
      <c r="AF66" s="271" t="str">
        <f t="shared" si="43"/>
        <v>English</v>
      </c>
      <c r="AG66" s="271" t="str">
        <f t="shared" si="44"/>
        <v>No</v>
      </c>
      <c r="AH66" s="271" t="str">
        <f t="shared" si="45"/>
        <v>No</v>
      </c>
      <c r="AI66" s="393" t="str">
        <f t="shared" si="46"/>
        <v>No</v>
      </c>
      <c r="AJ66" s="393" t="str">
        <f t="shared" si="47"/>
        <v>No</v>
      </c>
      <c r="AK66" s="393" t="str">
        <f t="shared" si="48"/>
        <v>No</v>
      </c>
      <c r="AL66" s="393" t="str">
        <f t="shared" si="49"/>
        <v>No</v>
      </c>
      <c r="AM66" s="400" t="str">
        <f t="shared" si="50"/>
        <v/>
      </c>
      <c r="AN66" s="401" t="str">
        <f t="shared" si="51"/>
        <v/>
      </c>
      <c r="AO66" s="401" t="str">
        <f t="shared" si="52"/>
        <v/>
      </c>
      <c r="AP66" s="401" t="str">
        <f t="shared" si="53"/>
        <v/>
      </c>
      <c r="AQ66" s="399">
        <f t="shared" si="54"/>
        <v>0</v>
      </c>
    </row>
    <row r="67" spans="1:43" s="138" customFormat="1" ht="12.75" customHeight="1" x14ac:dyDescent="0.2">
      <c r="A67" s="399">
        <v>45</v>
      </c>
      <c r="B67" s="308"/>
      <c r="C67" s="214" t="str">
        <f t="shared" si="37"/>
        <v/>
      </c>
      <c r="D67" s="378" t="str">
        <f t="shared" si="38"/>
        <v>?</v>
      </c>
      <c r="E67" s="394" t="str">
        <f t="shared" si="55"/>
        <v>Yes</v>
      </c>
      <c r="F67" s="380" t="str">
        <f t="shared" si="34"/>
        <v>No</v>
      </c>
      <c r="G67" s="380" t="str">
        <f t="shared" si="35"/>
        <v>No</v>
      </c>
      <c r="H67" s="380" t="str">
        <f t="shared" si="36"/>
        <v>No</v>
      </c>
      <c r="I67" s="380" t="str">
        <f t="shared" si="36"/>
        <v>Nein</v>
      </c>
      <c r="J67" s="241">
        <v>0</v>
      </c>
      <c r="K67" s="313">
        <v>0</v>
      </c>
      <c r="L67" s="397">
        <f t="shared" si="26"/>
        <v>0</v>
      </c>
      <c r="M67" s="464">
        <f t="shared" si="39"/>
        <v>0</v>
      </c>
      <c r="N67" s="215">
        <v>1</v>
      </c>
      <c r="O67" s="326">
        <f t="shared" si="27"/>
        <v>0</v>
      </c>
      <c r="P67" s="327">
        <f t="shared" si="28"/>
        <v>0</v>
      </c>
      <c r="Q67" s="397">
        <f t="shared" si="29"/>
        <v>0</v>
      </c>
      <c r="R67" s="464">
        <f t="shared" si="40"/>
        <v>0</v>
      </c>
      <c r="S67" s="328">
        <f t="shared" si="30"/>
        <v>1</v>
      </c>
      <c r="T67" s="326">
        <f t="shared" si="31"/>
        <v>0</v>
      </c>
      <c r="U67" s="327">
        <f t="shared" si="32"/>
        <v>0</v>
      </c>
      <c r="V67" s="397">
        <f t="shared" si="41"/>
        <v>0</v>
      </c>
      <c r="W67" s="464">
        <f t="shared" si="42"/>
        <v>0</v>
      </c>
      <c r="X67" s="332">
        <f t="shared" si="33"/>
        <v>1</v>
      </c>
      <c r="Y67" s="238" t="s">
        <v>45</v>
      </c>
      <c r="Z67" s="67"/>
      <c r="AA67" s="67"/>
      <c r="AB67" s="67"/>
      <c r="AC67" s="67"/>
      <c r="AD67" s="67"/>
      <c r="AE67" s="271" t="str">
        <f t="shared" si="56"/>
        <v>English</v>
      </c>
      <c r="AF67" s="271" t="str">
        <f t="shared" si="43"/>
        <v>English</v>
      </c>
      <c r="AG67" s="271" t="str">
        <f t="shared" si="44"/>
        <v>No</v>
      </c>
      <c r="AH67" s="271" t="str">
        <f t="shared" si="45"/>
        <v>No</v>
      </c>
      <c r="AI67" s="393" t="str">
        <f t="shared" si="46"/>
        <v>No</v>
      </c>
      <c r="AJ67" s="393" t="str">
        <f t="shared" si="47"/>
        <v>No</v>
      </c>
      <c r="AK67" s="393" t="str">
        <f t="shared" si="48"/>
        <v>No</v>
      </c>
      <c r="AL67" s="393" t="str">
        <f t="shared" si="49"/>
        <v>No</v>
      </c>
      <c r="AM67" s="400" t="str">
        <f t="shared" si="50"/>
        <v/>
      </c>
      <c r="AN67" s="401" t="str">
        <f t="shared" si="51"/>
        <v/>
      </c>
      <c r="AO67" s="401" t="str">
        <f t="shared" si="52"/>
        <v/>
      </c>
      <c r="AP67" s="401" t="str">
        <f t="shared" si="53"/>
        <v/>
      </c>
      <c r="AQ67" s="399">
        <f t="shared" si="54"/>
        <v>0</v>
      </c>
    </row>
    <row r="68" spans="1:43" s="138" customFormat="1" ht="12.75" customHeight="1" x14ac:dyDescent="0.2">
      <c r="A68" s="399">
        <v>46</v>
      </c>
      <c r="B68" s="308"/>
      <c r="C68" s="214" t="str">
        <f t="shared" si="37"/>
        <v/>
      </c>
      <c r="D68" s="378" t="str">
        <f t="shared" si="38"/>
        <v>?</v>
      </c>
      <c r="E68" s="394" t="str">
        <f t="shared" si="55"/>
        <v>Yes</v>
      </c>
      <c r="F68" s="380" t="str">
        <f t="shared" si="34"/>
        <v>No</v>
      </c>
      <c r="G68" s="380" t="str">
        <f t="shared" si="35"/>
        <v>No</v>
      </c>
      <c r="H68" s="380" t="str">
        <f t="shared" si="36"/>
        <v>No</v>
      </c>
      <c r="I68" s="380" t="str">
        <f t="shared" si="36"/>
        <v>Nein</v>
      </c>
      <c r="J68" s="241">
        <v>0</v>
      </c>
      <c r="K68" s="313">
        <v>0</v>
      </c>
      <c r="L68" s="397">
        <f t="shared" si="26"/>
        <v>0</v>
      </c>
      <c r="M68" s="464">
        <f t="shared" si="39"/>
        <v>0</v>
      </c>
      <c r="N68" s="215">
        <v>1</v>
      </c>
      <c r="O68" s="326">
        <f t="shared" si="27"/>
        <v>0</v>
      </c>
      <c r="P68" s="327">
        <f t="shared" si="28"/>
        <v>0</v>
      </c>
      <c r="Q68" s="397">
        <f t="shared" si="29"/>
        <v>0</v>
      </c>
      <c r="R68" s="464">
        <f t="shared" si="40"/>
        <v>0</v>
      </c>
      <c r="S68" s="328">
        <f t="shared" si="30"/>
        <v>1</v>
      </c>
      <c r="T68" s="326">
        <f t="shared" si="31"/>
        <v>0</v>
      </c>
      <c r="U68" s="327">
        <f t="shared" si="32"/>
        <v>0</v>
      </c>
      <c r="V68" s="397">
        <f t="shared" si="41"/>
        <v>0</v>
      </c>
      <c r="W68" s="464">
        <f t="shared" si="42"/>
        <v>0</v>
      </c>
      <c r="X68" s="332">
        <f t="shared" si="33"/>
        <v>1</v>
      </c>
      <c r="Y68" s="238" t="s">
        <v>45</v>
      </c>
      <c r="Z68" s="67"/>
      <c r="AA68" s="67"/>
      <c r="AB68" s="67"/>
      <c r="AC68" s="67"/>
      <c r="AD68" s="67"/>
      <c r="AE68" s="271" t="str">
        <f t="shared" si="56"/>
        <v>English</v>
      </c>
      <c r="AF68" s="271" t="str">
        <f t="shared" si="43"/>
        <v>English</v>
      </c>
      <c r="AG68" s="271" t="str">
        <f t="shared" si="44"/>
        <v>No</v>
      </c>
      <c r="AH68" s="271" t="str">
        <f t="shared" si="45"/>
        <v>No</v>
      </c>
      <c r="AI68" s="393" t="str">
        <f t="shared" si="46"/>
        <v>No</v>
      </c>
      <c r="AJ68" s="393" t="str">
        <f t="shared" si="47"/>
        <v>No</v>
      </c>
      <c r="AK68" s="393" t="str">
        <f t="shared" si="48"/>
        <v>No</v>
      </c>
      <c r="AL68" s="393" t="str">
        <f t="shared" si="49"/>
        <v>No</v>
      </c>
      <c r="AM68" s="400" t="str">
        <f t="shared" si="50"/>
        <v/>
      </c>
      <c r="AN68" s="401" t="str">
        <f t="shared" si="51"/>
        <v/>
      </c>
      <c r="AO68" s="401" t="str">
        <f t="shared" si="52"/>
        <v/>
      </c>
      <c r="AP68" s="401" t="str">
        <f t="shared" si="53"/>
        <v/>
      </c>
      <c r="AQ68" s="399">
        <f t="shared" si="54"/>
        <v>0</v>
      </c>
    </row>
    <row r="69" spans="1:43" s="138" customFormat="1" ht="12.75" customHeight="1" x14ac:dyDescent="0.2">
      <c r="A69" s="399">
        <v>47</v>
      </c>
      <c r="B69" s="308"/>
      <c r="C69" s="214" t="str">
        <f t="shared" si="37"/>
        <v/>
      </c>
      <c r="D69" s="378" t="str">
        <f t="shared" si="38"/>
        <v>?</v>
      </c>
      <c r="E69" s="394" t="str">
        <f t="shared" si="55"/>
        <v>Yes</v>
      </c>
      <c r="F69" s="380" t="str">
        <f t="shared" si="34"/>
        <v>No</v>
      </c>
      <c r="G69" s="380" t="str">
        <f t="shared" si="35"/>
        <v>No</v>
      </c>
      <c r="H69" s="380" t="str">
        <f t="shared" si="36"/>
        <v>No</v>
      </c>
      <c r="I69" s="380" t="str">
        <f t="shared" si="36"/>
        <v>Nein</v>
      </c>
      <c r="J69" s="241">
        <v>0</v>
      </c>
      <c r="K69" s="313">
        <v>0</v>
      </c>
      <c r="L69" s="397">
        <f t="shared" si="26"/>
        <v>0</v>
      </c>
      <c r="M69" s="464">
        <f t="shared" si="39"/>
        <v>0</v>
      </c>
      <c r="N69" s="215">
        <v>1</v>
      </c>
      <c r="O69" s="326">
        <f t="shared" si="27"/>
        <v>0</v>
      </c>
      <c r="P69" s="327">
        <f t="shared" si="28"/>
        <v>0</v>
      </c>
      <c r="Q69" s="397">
        <f t="shared" si="29"/>
        <v>0</v>
      </c>
      <c r="R69" s="464">
        <f t="shared" si="40"/>
        <v>0</v>
      </c>
      <c r="S69" s="328">
        <f t="shared" si="30"/>
        <v>1</v>
      </c>
      <c r="T69" s="326">
        <f t="shared" si="31"/>
        <v>0</v>
      </c>
      <c r="U69" s="327">
        <f t="shared" si="32"/>
        <v>0</v>
      </c>
      <c r="V69" s="397">
        <f t="shared" si="41"/>
        <v>0</v>
      </c>
      <c r="W69" s="464">
        <f t="shared" si="42"/>
        <v>0</v>
      </c>
      <c r="X69" s="332">
        <f t="shared" si="33"/>
        <v>1</v>
      </c>
      <c r="Y69" s="238" t="s">
        <v>45</v>
      </c>
      <c r="Z69" s="67"/>
      <c r="AA69" s="67"/>
      <c r="AB69" s="67"/>
      <c r="AC69" s="67"/>
      <c r="AD69" s="67"/>
      <c r="AE69" s="271" t="str">
        <f t="shared" si="56"/>
        <v>English</v>
      </c>
      <c r="AF69" s="271" t="str">
        <f t="shared" si="43"/>
        <v>English</v>
      </c>
      <c r="AG69" s="271" t="str">
        <f t="shared" si="44"/>
        <v>No</v>
      </c>
      <c r="AH69" s="271" t="str">
        <f t="shared" si="45"/>
        <v>No</v>
      </c>
      <c r="AI69" s="393" t="str">
        <f t="shared" si="46"/>
        <v>No</v>
      </c>
      <c r="AJ69" s="393" t="str">
        <f t="shared" si="47"/>
        <v>No</v>
      </c>
      <c r="AK69" s="393" t="str">
        <f t="shared" si="48"/>
        <v>No</v>
      </c>
      <c r="AL69" s="393" t="str">
        <f t="shared" si="49"/>
        <v>No</v>
      </c>
      <c r="AM69" s="400" t="str">
        <f t="shared" si="50"/>
        <v/>
      </c>
      <c r="AN69" s="401" t="str">
        <f t="shared" si="51"/>
        <v/>
      </c>
      <c r="AO69" s="401" t="str">
        <f t="shared" si="52"/>
        <v/>
      </c>
      <c r="AP69" s="401" t="str">
        <f t="shared" si="53"/>
        <v/>
      </c>
      <c r="AQ69" s="399">
        <f t="shared" si="54"/>
        <v>0</v>
      </c>
    </row>
    <row r="70" spans="1:43" s="138" customFormat="1" ht="12.75" customHeight="1" x14ac:dyDescent="0.2">
      <c r="A70" s="399">
        <v>48</v>
      </c>
      <c r="B70" s="308"/>
      <c r="C70" s="214" t="str">
        <f t="shared" si="37"/>
        <v/>
      </c>
      <c r="D70" s="378" t="str">
        <f t="shared" si="38"/>
        <v>?</v>
      </c>
      <c r="E70" s="394" t="str">
        <f t="shared" si="55"/>
        <v>Yes</v>
      </c>
      <c r="F70" s="380" t="str">
        <f t="shared" si="34"/>
        <v>No</v>
      </c>
      <c r="G70" s="380" t="str">
        <f t="shared" si="35"/>
        <v>No</v>
      </c>
      <c r="H70" s="380" t="str">
        <f t="shared" si="36"/>
        <v>No</v>
      </c>
      <c r="I70" s="380" t="str">
        <f t="shared" si="36"/>
        <v>Nein</v>
      </c>
      <c r="J70" s="241">
        <v>0</v>
      </c>
      <c r="K70" s="313">
        <v>0</v>
      </c>
      <c r="L70" s="397">
        <f t="shared" si="26"/>
        <v>0</v>
      </c>
      <c r="M70" s="464">
        <f t="shared" si="39"/>
        <v>0</v>
      </c>
      <c r="N70" s="215">
        <v>1</v>
      </c>
      <c r="O70" s="326">
        <f t="shared" si="27"/>
        <v>0</v>
      </c>
      <c r="P70" s="327">
        <f t="shared" si="28"/>
        <v>0</v>
      </c>
      <c r="Q70" s="397">
        <f t="shared" si="29"/>
        <v>0</v>
      </c>
      <c r="R70" s="464">
        <f t="shared" si="40"/>
        <v>0</v>
      </c>
      <c r="S70" s="328">
        <f t="shared" si="30"/>
        <v>1</v>
      </c>
      <c r="T70" s="326">
        <f t="shared" si="31"/>
        <v>0</v>
      </c>
      <c r="U70" s="327">
        <f t="shared" si="32"/>
        <v>0</v>
      </c>
      <c r="V70" s="397">
        <f t="shared" si="41"/>
        <v>0</v>
      </c>
      <c r="W70" s="464">
        <f t="shared" si="42"/>
        <v>0</v>
      </c>
      <c r="X70" s="332">
        <f t="shared" si="33"/>
        <v>1</v>
      </c>
      <c r="Y70" s="238" t="s">
        <v>45</v>
      </c>
      <c r="Z70" s="67"/>
      <c r="AA70" s="67"/>
      <c r="AB70" s="67"/>
      <c r="AC70" s="67"/>
      <c r="AD70" s="67"/>
      <c r="AE70" s="271" t="str">
        <f t="shared" si="56"/>
        <v>English</v>
      </c>
      <c r="AF70" s="271" t="str">
        <f t="shared" si="43"/>
        <v>English</v>
      </c>
      <c r="AG70" s="271" t="str">
        <f t="shared" si="44"/>
        <v>No</v>
      </c>
      <c r="AH70" s="271" t="str">
        <f t="shared" si="45"/>
        <v>No</v>
      </c>
      <c r="AI70" s="393" t="str">
        <f t="shared" si="46"/>
        <v>No</v>
      </c>
      <c r="AJ70" s="393" t="str">
        <f t="shared" si="47"/>
        <v>No</v>
      </c>
      <c r="AK70" s="393" t="str">
        <f t="shared" si="48"/>
        <v>No</v>
      </c>
      <c r="AL70" s="393" t="str">
        <f t="shared" si="49"/>
        <v>No</v>
      </c>
      <c r="AM70" s="400" t="str">
        <f t="shared" si="50"/>
        <v/>
      </c>
      <c r="AN70" s="401" t="str">
        <f t="shared" si="51"/>
        <v/>
      </c>
      <c r="AO70" s="401" t="str">
        <f t="shared" si="52"/>
        <v/>
      </c>
      <c r="AP70" s="401" t="str">
        <f t="shared" si="53"/>
        <v/>
      </c>
      <c r="AQ70" s="399">
        <f t="shared" si="54"/>
        <v>0</v>
      </c>
    </row>
    <row r="71" spans="1:43" s="138" customFormat="1" ht="12.75" customHeight="1" x14ac:dyDescent="0.2">
      <c r="A71" s="399">
        <v>49</v>
      </c>
      <c r="B71" s="308"/>
      <c r="C71" s="214" t="str">
        <f t="shared" si="37"/>
        <v/>
      </c>
      <c r="D71" s="378" t="str">
        <f t="shared" si="38"/>
        <v>?</v>
      </c>
      <c r="E71" s="394" t="str">
        <f t="shared" si="55"/>
        <v>Yes</v>
      </c>
      <c r="F71" s="380" t="str">
        <f t="shared" si="34"/>
        <v>No</v>
      </c>
      <c r="G71" s="380" t="str">
        <f t="shared" si="35"/>
        <v>No</v>
      </c>
      <c r="H71" s="380" t="str">
        <f t="shared" si="36"/>
        <v>No</v>
      </c>
      <c r="I71" s="380" t="str">
        <f t="shared" si="36"/>
        <v>Nein</v>
      </c>
      <c r="J71" s="241">
        <v>0</v>
      </c>
      <c r="K71" s="313">
        <v>0</v>
      </c>
      <c r="L71" s="397">
        <f t="shared" si="26"/>
        <v>0</v>
      </c>
      <c r="M71" s="464">
        <f t="shared" si="39"/>
        <v>0</v>
      </c>
      <c r="N71" s="215">
        <v>1</v>
      </c>
      <c r="O71" s="326">
        <f t="shared" si="27"/>
        <v>0</v>
      </c>
      <c r="P71" s="327">
        <f t="shared" si="28"/>
        <v>0</v>
      </c>
      <c r="Q71" s="397">
        <f t="shared" si="29"/>
        <v>0</v>
      </c>
      <c r="R71" s="464">
        <f t="shared" si="40"/>
        <v>0</v>
      </c>
      <c r="S71" s="328">
        <f t="shared" si="30"/>
        <v>1</v>
      </c>
      <c r="T71" s="326">
        <f t="shared" si="31"/>
        <v>0</v>
      </c>
      <c r="U71" s="327">
        <f t="shared" si="32"/>
        <v>0</v>
      </c>
      <c r="V71" s="397">
        <f t="shared" si="41"/>
        <v>0</v>
      </c>
      <c r="W71" s="464">
        <f t="shared" si="42"/>
        <v>0</v>
      </c>
      <c r="X71" s="332">
        <f t="shared" si="33"/>
        <v>1</v>
      </c>
      <c r="Y71" s="238" t="s">
        <v>45</v>
      </c>
      <c r="Z71" s="67"/>
      <c r="AA71" s="67"/>
      <c r="AB71" s="67"/>
      <c r="AC71" s="67"/>
      <c r="AD71" s="67"/>
      <c r="AE71" s="271" t="str">
        <f t="shared" si="56"/>
        <v>English</v>
      </c>
      <c r="AF71" s="271" t="str">
        <f t="shared" si="43"/>
        <v>English</v>
      </c>
      <c r="AG71" s="271" t="str">
        <f t="shared" si="44"/>
        <v>No</v>
      </c>
      <c r="AH71" s="271" t="str">
        <f t="shared" si="45"/>
        <v>No</v>
      </c>
      <c r="AI71" s="393" t="str">
        <f t="shared" si="46"/>
        <v>No</v>
      </c>
      <c r="AJ71" s="393" t="str">
        <f t="shared" si="47"/>
        <v>No</v>
      </c>
      <c r="AK71" s="393" t="str">
        <f t="shared" si="48"/>
        <v>No</v>
      </c>
      <c r="AL71" s="393" t="str">
        <f t="shared" si="49"/>
        <v>No</v>
      </c>
      <c r="AM71" s="400" t="str">
        <f t="shared" si="50"/>
        <v/>
      </c>
      <c r="AN71" s="401" t="str">
        <f t="shared" si="51"/>
        <v/>
      </c>
      <c r="AO71" s="401" t="str">
        <f t="shared" si="52"/>
        <v/>
      </c>
      <c r="AP71" s="401" t="str">
        <f t="shared" si="53"/>
        <v/>
      </c>
      <c r="AQ71" s="399">
        <f t="shared" si="54"/>
        <v>0</v>
      </c>
    </row>
    <row r="72" spans="1:43" s="138" customFormat="1" ht="12.75" customHeight="1" thickBot="1" x14ac:dyDescent="0.25">
      <c r="A72" s="399">
        <v>50</v>
      </c>
      <c r="B72" s="308"/>
      <c r="C72" s="214" t="str">
        <f t="shared" si="37"/>
        <v/>
      </c>
      <c r="D72" s="378" t="str">
        <f t="shared" si="38"/>
        <v>?</v>
      </c>
      <c r="E72" s="394" t="str">
        <f t="shared" si="55"/>
        <v>Yes</v>
      </c>
      <c r="F72" s="380" t="str">
        <f t="shared" si="34"/>
        <v>No</v>
      </c>
      <c r="G72" s="380" t="str">
        <f t="shared" si="35"/>
        <v>No</v>
      </c>
      <c r="H72" s="380" t="str">
        <f t="shared" si="36"/>
        <v>No</v>
      </c>
      <c r="I72" s="380" t="str">
        <f t="shared" si="36"/>
        <v>Nein</v>
      </c>
      <c r="J72" s="241">
        <v>0</v>
      </c>
      <c r="K72" s="313">
        <v>0</v>
      </c>
      <c r="L72" s="397">
        <f t="shared" si="26"/>
        <v>0</v>
      </c>
      <c r="M72" s="464">
        <f t="shared" si="39"/>
        <v>0</v>
      </c>
      <c r="N72" s="216">
        <v>1</v>
      </c>
      <c r="O72" s="326">
        <f t="shared" si="27"/>
        <v>0</v>
      </c>
      <c r="P72" s="327">
        <f t="shared" si="28"/>
        <v>0</v>
      </c>
      <c r="Q72" s="397">
        <f t="shared" si="29"/>
        <v>0</v>
      </c>
      <c r="R72" s="464">
        <f t="shared" si="40"/>
        <v>0</v>
      </c>
      <c r="S72" s="328">
        <f t="shared" si="30"/>
        <v>1</v>
      </c>
      <c r="T72" s="326">
        <f t="shared" si="31"/>
        <v>0</v>
      </c>
      <c r="U72" s="327">
        <f t="shared" si="32"/>
        <v>0</v>
      </c>
      <c r="V72" s="397">
        <f t="shared" si="41"/>
        <v>0</v>
      </c>
      <c r="W72" s="464">
        <f t="shared" si="42"/>
        <v>0</v>
      </c>
      <c r="X72" s="332">
        <f t="shared" si="33"/>
        <v>1</v>
      </c>
      <c r="Y72" s="238" t="s">
        <v>45</v>
      </c>
      <c r="Z72" s="67"/>
      <c r="AA72" s="67"/>
      <c r="AB72" s="67"/>
      <c r="AC72" s="67"/>
      <c r="AD72" s="67"/>
      <c r="AE72" s="271" t="str">
        <f t="shared" si="56"/>
        <v>English</v>
      </c>
      <c r="AF72" s="271" t="str">
        <f t="shared" si="43"/>
        <v>English</v>
      </c>
      <c r="AG72" s="271" t="str">
        <f t="shared" si="44"/>
        <v>No</v>
      </c>
      <c r="AH72" s="271" t="str">
        <f t="shared" si="45"/>
        <v>No</v>
      </c>
      <c r="AI72" s="393" t="str">
        <f t="shared" si="46"/>
        <v>No</v>
      </c>
      <c r="AJ72" s="393" t="str">
        <f t="shared" si="47"/>
        <v>No</v>
      </c>
      <c r="AK72" s="393" t="str">
        <f t="shared" si="48"/>
        <v>No</v>
      </c>
      <c r="AL72" s="393" t="str">
        <f t="shared" si="49"/>
        <v>No</v>
      </c>
      <c r="AM72" s="400" t="str">
        <f t="shared" si="50"/>
        <v/>
      </c>
      <c r="AN72" s="401" t="str">
        <f t="shared" si="51"/>
        <v/>
      </c>
      <c r="AO72" s="401" t="str">
        <f t="shared" si="52"/>
        <v/>
      </c>
      <c r="AP72" s="401" t="str">
        <f t="shared" si="53"/>
        <v/>
      </c>
      <c r="AQ72" s="399">
        <f t="shared" si="54"/>
        <v>0</v>
      </c>
    </row>
    <row r="73" spans="1:43" hidden="1" x14ac:dyDescent="0.2">
      <c r="K73" s="192">
        <f>COLUMN(K72)</f>
        <v>11</v>
      </c>
      <c r="P73" s="192">
        <f>COLUMN(P72)</f>
        <v>16</v>
      </c>
      <c r="U73" s="192">
        <f>COLUMN(U72)</f>
        <v>21</v>
      </c>
    </row>
  </sheetData>
  <sheetProtection password="E9DA" sheet="1" objects="1" scenarios="1" selectLockedCells="1"/>
  <mergeCells count="50">
    <mergeCell ref="C6:D6"/>
    <mergeCell ref="C14:D14"/>
    <mergeCell ref="C15:D15"/>
    <mergeCell ref="C16:D16"/>
    <mergeCell ref="C17:D17"/>
    <mergeCell ref="T20:X20"/>
    <mergeCell ref="J19:X19"/>
    <mergeCell ref="Z20:AD20"/>
    <mergeCell ref="Y19:Y21"/>
    <mergeCell ref="O20:S20"/>
    <mergeCell ref="Z19:AD19"/>
    <mergeCell ref="AI19:AL20"/>
    <mergeCell ref="AM19:AO20"/>
    <mergeCell ref="Y8:Z8"/>
    <mergeCell ref="J6:S6"/>
    <mergeCell ref="Y9:Z9"/>
    <mergeCell ref="AE19:AH20"/>
    <mergeCell ref="Y14:Z14"/>
    <mergeCell ref="Y15:Z15"/>
    <mergeCell ref="Y16:Z16"/>
    <mergeCell ref="N13:U13"/>
    <mergeCell ref="N14:T14"/>
    <mergeCell ref="Y10:Z10"/>
    <mergeCell ref="Y11:Z11"/>
    <mergeCell ref="Y13:Z13"/>
    <mergeCell ref="AA11:AJ11"/>
    <mergeCell ref="AA13:AJ13"/>
    <mergeCell ref="E20:E21"/>
    <mergeCell ref="A19:A21"/>
    <mergeCell ref="B19:B21"/>
    <mergeCell ref="C19:C21"/>
    <mergeCell ref="J20:N20"/>
    <mergeCell ref="I19:I21"/>
    <mergeCell ref="F19:H19"/>
    <mergeCell ref="N15:T15"/>
    <mergeCell ref="N16:T16"/>
    <mergeCell ref="N17:T17"/>
    <mergeCell ref="AO1:AO2"/>
    <mergeCell ref="Y6:AK6"/>
    <mergeCell ref="A8:U8"/>
    <mergeCell ref="A10:U11"/>
    <mergeCell ref="A4:U4"/>
    <mergeCell ref="A2:U2"/>
    <mergeCell ref="A1:U1"/>
    <mergeCell ref="AA10:AJ10"/>
    <mergeCell ref="AA14:AJ14"/>
    <mergeCell ref="AA15:AJ15"/>
    <mergeCell ref="AA8:AJ8"/>
    <mergeCell ref="AA9:AJ9"/>
    <mergeCell ref="AA16:AJ16"/>
  </mergeCells>
  <conditionalFormatting sqref="A8">
    <cfRule type="expression" dxfId="3" priority="43">
      <formula>$E$6="Ja"</formula>
    </cfRule>
  </conditionalFormatting>
  <dataValidations count="7">
    <dataValidation type="decimal" operator="greaterThanOrEqual" allowBlank="1" showInputMessage="1" showErrorMessage="1" sqref="R22:R72 M22:M72 J22:K72 T22:T72 W22:W72">
      <formula1>0</formula1>
    </dataValidation>
    <dataValidation type="list" allowBlank="1" showInputMessage="1" showErrorMessage="1" sqref="AG22:AL72 E22:I72">
      <formula1>JaNein</formula1>
    </dataValidation>
    <dataValidation type="whole" allowBlank="1" showInputMessage="1" showErrorMessage="1" sqref="N22:N72 X22:X72 S22:S72">
      <formula1>1</formula1>
      <formula2>6</formula2>
    </dataValidation>
    <dataValidation type="list" allowBlank="1" showInputMessage="1" showErrorMessage="1" sqref="Y22:Y72">
      <formula1>Ländercodes</formula1>
    </dataValidation>
    <dataValidation type="list" allowBlank="1" showInputMessage="1" showErrorMessage="1" sqref="AE22:AF72">
      <formula1>Sprachenliste</formula1>
    </dataValidation>
    <dataValidation type="list" allowBlank="1" showInputMessage="1" showErrorMessage="1" sqref="Z22:AC72 AD23:AD72">
      <formula1>Kreuz</formula1>
    </dataValidation>
    <dataValidation type="list" allowBlank="1" showInputMessage="1" showErrorMessage="1" sqref="D22:D72">
      <formula1>ListeKomplexität</formula1>
    </dataValidation>
  </dataValidations>
  <pageMargins left="0.70866141732283472" right="0.70866141732283472" top="0.78740157480314965" bottom="0.78740157480314965" header="0.31496062992125984" footer="0.31496062992125984"/>
  <pageSetup paperSize="9" scale="59" fitToHeight="5" orientation="landscape" r:id="rId1"/>
  <headerFooter scaleWithDoc="0">
    <oddHeader>&amp;L&amp;F&amp;R&amp;A</oddHeader>
    <oddFooter>&amp;LSeite &amp;P / &amp;N&amp;R&amp;D /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pageSetUpPr fitToPage="1"/>
  </sheetPr>
  <dimension ref="A1:M53"/>
  <sheetViews>
    <sheetView showGridLines="0" zoomScaleNormal="100" workbookViewId="0">
      <selection activeCell="C6" sqref="C6:E6"/>
    </sheetView>
  </sheetViews>
  <sheetFormatPr defaultColWidth="11.42578125" defaultRowHeight="12.75" x14ac:dyDescent="0.2"/>
  <cols>
    <col min="1" max="1" width="8.140625" customWidth="1"/>
    <col min="2" max="2" width="11.140625" customWidth="1"/>
    <col min="3" max="5" width="16.5703125" customWidth="1"/>
    <col min="6" max="9" width="3.7109375" style="192" customWidth="1"/>
    <col min="10" max="10" width="9.42578125" customWidth="1"/>
    <col min="11" max="11" width="9.42578125" style="51" customWidth="1"/>
    <col min="12" max="12" width="9.42578125" customWidth="1"/>
    <col min="13" max="13" width="14.7109375" hidden="1" customWidth="1"/>
  </cols>
  <sheetData>
    <row r="1" spans="1:13" ht="22.5" customHeight="1" x14ac:dyDescent="0.25">
      <c r="A1" s="546" t="str">
        <f>Titel</f>
        <v>Audit programme Aero</v>
      </c>
      <c r="B1" s="547"/>
      <c r="C1" s="547"/>
      <c r="D1" s="547"/>
      <c r="E1" s="547"/>
      <c r="F1" s="225"/>
      <c r="G1" s="225"/>
      <c r="H1" s="225"/>
      <c r="I1" s="225"/>
      <c r="J1" s="755"/>
      <c r="K1" s="756"/>
      <c r="L1" s="757"/>
    </row>
    <row r="2" spans="1:13" ht="24.75" customHeight="1" x14ac:dyDescent="0.2">
      <c r="A2" s="764" t="s">
        <v>48</v>
      </c>
      <c r="B2" s="765"/>
      <c r="C2" s="765" t="str">
        <f>IF(ISBLANK(Firma),"",Firma)</f>
        <v/>
      </c>
      <c r="D2" s="765"/>
      <c r="E2" s="766"/>
      <c r="F2" s="224"/>
      <c r="G2" s="224"/>
      <c r="H2" s="224"/>
      <c r="I2" s="224"/>
      <c r="J2" s="758"/>
      <c r="K2" s="759"/>
      <c r="L2" s="760"/>
    </row>
    <row r="3" spans="1:13" ht="6" customHeight="1" x14ac:dyDescent="0.2">
      <c r="A3" s="41"/>
      <c r="B3" s="2"/>
      <c r="C3" s="2"/>
      <c r="D3" s="2"/>
      <c r="E3" s="2"/>
      <c r="F3" s="188"/>
      <c r="G3" s="188"/>
      <c r="H3" s="188"/>
      <c r="I3" s="188"/>
      <c r="J3" s="2"/>
      <c r="K3" s="2"/>
      <c r="L3" s="7"/>
    </row>
    <row r="4" spans="1:13" s="79" customFormat="1" ht="21.95" customHeight="1" x14ac:dyDescent="0.2">
      <c r="A4" s="761" t="str">
        <f>IF(Sprache=DE,"Vorschlag für das Auditteam","Proposal for audit team")</f>
        <v>Proposal for audit team</v>
      </c>
      <c r="B4" s="762"/>
      <c r="C4" s="762"/>
      <c r="D4" s="762"/>
      <c r="E4" s="762"/>
      <c r="F4" s="762"/>
      <c r="G4" s="762"/>
      <c r="H4" s="762"/>
      <c r="I4" s="762"/>
      <c r="J4" s="762"/>
      <c r="K4" s="762"/>
      <c r="L4" s="763"/>
    </row>
    <row r="5" spans="1:13" s="15" customFormat="1" ht="17.25" customHeight="1" x14ac:dyDescent="0.2">
      <c r="A5" s="80"/>
      <c r="B5" s="81"/>
      <c r="C5" s="769" t="s">
        <v>33</v>
      </c>
      <c r="D5" s="770"/>
      <c r="E5" s="770"/>
      <c r="F5" s="748">
        <v>9100</v>
      </c>
      <c r="G5" s="748">
        <v>9110</v>
      </c>
      <c r="H5" s="748">
        <v>9120</v>
      </c>
      <c r="I5" s="748">
        <v>9001</v>
      </c>
      <c r="J5" s="749" t="str">
        <f>IF(Sprache=DE,"TB-Scopes","TA-Scopes")</f>
        <v>TA-Scopes</v>
      </c>
      <c r="K5" s="750"/>
      <c r="L5" s="751"/>
    </row>
    <row r="6" spans="1:13" s="12" customFormat="1" ht="24" customHeight="1" x14ac:dyDescent="0.2">
      <c r="A6" s="743" t="str">
        <f>IF(Sprache =DE,"Auftragsverantwortlich","Project responsible")&amp;":"</f>
        <v>Project responsible:</v>
      </c>
      <c r="B6" s="744"/>
      <c r="C6" s="767"/>
      <c r="D6" s="768"/>
      <c r="E6" s="768"/>
      <c r="F6" s="748"/>
      <c r="G6" s="748"/>
      <c r="H6" s="748"/>
      <c r="I6" s="748"/>
      <c r="J6" s="752"/>
      <c r="K6" s="753"/>
      <c r="L6" s="754"/>
      <c r="M6" s="217" t="s">
        <v>46</v>
      </c>
    </row>
    <row r="7" spans="1:13" s="12" customFormat="1" ht="24" customHeight="1" x14ac:dyDescent="0.2">
      <c r="A7" s="743" t="str">
        <f>IF(Sprache=DE,"Auditteamleiter","Audt team leader")&amp;":"</f>
        <v>Audt team leader:</v>
      </c>
      <c r="B7" s="744"/>
      <c r="C7" s="745" t="str">
        <f>IF(Auftragsverantwortlich="","",Auftragsverantwortlich)</f>
        <v/>
      </c>
      <c r="D7" s="746"/>
      <c r="E7" s="746"/>
      <c r="F7" s="149"/>
      <c r="G7" s="149"/>
      <c r="H7" s="149"/>
      <c r="I7" s="149" t="s">
        <v>27</v>
      </c>
      <c r="J7" s="123" t="str">
        <f t="shared" ref="J7:L12" si="0">NoScope</f>
        <v>---</v>
      </c>
      <c r="K7" s="123" t="str">
        <f t="shared" si="0"/>
        <v>---</v>
      </c>
      <c r="L7" s="123" t="str">
        <f t="shared" si="0"/>
        <v>---</v>
      </c>
      <c r="M7" s="222" t="str">
        <f t="shared" ref="M7:M12" si="1">ErstelleListe(J7:L7,NIL)</f>
        <v/>
      </c>
    </row>
    <row r="8" spans="1:13" s="12" customFormat="1" ht="24" customHeight="1" x14ac:dyDescent="0.2">
      <c r="A8" s="743" t="s">
        <v>175</v>
      </c>
      <c r="B8" s="744"/>
      <c r="C8" s="745"/>
      <c r="D8" s="746"/>
      <c r="E8" s="746"/>
      <c r="F8" s="149"/>
      <c r="G8" s="149"/>
      <c r="H8" s="226"/>
      <c r="I8" s="149" t="s">
        <v>27</v>
      </c>
      <c r="J8" s="123" t="str">
        <f t="shared" si="0"/>
        <v>---</v>
      </c>
      <c r="K8" s="123" t="str">
        <f t="shared" si="0"/>
        <v>---</v>
      </c>
      <c r="L8" s="123" t="str">
        <f t="shared" si="0"/>
        <v>---</v>
      </c>
      <c r="M8" s="222" t="str">
        <f t="shared" si="1"/>
        <v/>
      </c>
    </row>
    <row r="9" spans="1:13" s="12" customFormat="1" ht="24" customHeight="1" x14ac:dyDescent="0.2">
      <c r="A9" s="743" t="s">
        <v>176</v>
      </c>
      <c r="B9" s="744"/>
      <c r="C9" s="745"/>
      <c r="D9" s="746"/>
      <c r="E9" s="746"/>
      <c r="F9" s="149"/>
      <c r="G9" s="226"/>
      <c r="H9" s="149"/>
      <c r="I9" s="149" t="s">
        <v>27</v>
      </c>
      <c r="J9" s="123" t="str">
        <f t="shared" si="0"/>
        <v>---</v>
      </c>
      <c r="K9" s="123" t="str">
        <f t="shared" si="0"/>
        <v>---</v>
      </c>
      <c r="L9" s="123" t="str">
        <f t="shared" si="0"/>
        <v>---</v>
      </c>
      <c r="M9" s="222" t="str">
        <f t="shared" si="1"/>
        <v/>
      </c>
    </row>
    <row r="10" spans="1:13" s="12" customFormat="1" ht="24" customHeight="1" x14ac:dyDescent="0.2">
      <c r="A10" s="747" t="s">
        <v>177</v>
      </c>
      <c r="B10" s="747"/>
      <c r="C10" s="745"/>
      <c r="D10" s="746"/>
      <c r="E10" s="746"/>
      <c r="F10" s="149"/>
      <c r="G10" s="226"/>
      <c r="H10" s="226"/>
      <c r="I10" s="149" t="s">
        <v>27</v>
      </c>
      <c r="J10" s="123" t="str">
        <f t="shared" si="0"/>
        <v>---</v>
      </c>
      <c r="K10" s="123" t="str">
        <f t="shared" si="0"/>
        <v>---</v>
      </c>
      <c r="L10" s="123" t="str">
        <f t="shared" si="0"/>
        <v>---</v>
      </c>
      <c r="M10" s="222" t="str">
        <f t="shared" si="1"/>
        <v/>
      </c>
    </row>
    <row r="11" spans="1:13" s="191" customFormat="1" ht="24" customHeight="1" x14ac:dyDescent="0.2">
      <c r="A11" s="743" t="str">
        <f>IF(Sprache=DE,"Experte 1:","Expert 1:")</f>
        <v>Expert 1:</v>
      </c>
      <c r="B11" s="744"/>
      <c r="C11" s="745"/>
      <c r="D11" s="746"/>
      <c r="E11" s="746"/>
      <c r="F11" s="226"/>
      <c r="G11" s="226"/>
      <c r="H11" s="226"/>
      <c r="I11" s="149" t="s">
        <v>27</v>
      </c>
      <c r="J11" s="123" t="str">
        <f t="shared" si="0"/>
        <v>---</v>
      </c>
      <c r="K11" s="123" t="str">
        <f t="shared" si="0"/>
        <v>---</v>
      </c>
      <c r="L11" s="123" t="str">
        <f t="shared" si="0"/>
        <v>---</v>
      </c>
      <c r="M11" s="222" t="str">
        <f t="shared" si="1"/>
        <v/>
      </c>
    </row>
    <row r="12" spans="1:13" s="191" customFormat="1" ht="24" customHeight="1" x14ac:dyDescent="0.2">
      <c r="A12" s="747" t="str">
        <f>IF(Sprache=DE,"Experte 2:","Expert 2:")</f>
        <v>Expert 2:</v>
      </c>
      <c r="B12" s="747"/>
      <c r="C12" s="745"/>
      <c r="D12" s="746"/>
      <c r="E12" s="746"/>
      <c r="F12" s="226"/>
      <c r="G12" s="226"/>
      <c r="H12" s="226"/>
      <c r="I12" s="149" t="s">
        <v>27</v>
      </c>
      <c r="J12" s="123" t="str">
        <f t="shared" si="0"/>
        <v>---</v>
      </c>
      <c r="K12" s="123" t="str">
        <f t="shared" si="0"/>
        <v>---</v>
      </c>
      <c r="L12" s="123" t="str">
        <f t="shared" si="0"/>
        <v>---</v>
      </c>
      <c r="M12" s="222" t="str">
        <f t="shared" si="1"/>
        <v/>
      </c>
    </row>
    <row r="13" spans="1:13" s="12" customFormat="1" ht="24" customHeight="1" x14ac:dyDescent="0.2">
      <c r="A13" s="743" t="str">
        <f>IF(Sprache=DE,"Beobachter 1:","Witness 1:")</f>
        <v>Witness 1:</v>
      </c>
      <c r="B13" s="744"/>
      <c r="C13" s="745"/>
      <c r="D13" s="746"/>
      <c r="E13" s="746"/>
      <c r="F13" s="227"/>
      <c r="G13" s="228"/>
      <c r="H13" s="228"/>
      <c r="I13" s="229"/>
      <c r="J13" s="230"/>
      <c r="K13" s="230"/>
      <c r="L13" s="231"/>
    </row>
    <row r="14" spans="1:13" s="12" customFormat="1" ht="24" customHeight="1" x14ac:dyDescent="0.2">
      <c r="A14" s="747" t="str">
        <f>IF(Sprache=DE,"Beobachter 2:","Witness 2:")</f>
        <v>Witness 2:</v>
      </c>
      <c r="B14" s="747"/>
      <c r="C14" s="745"/>
      <c r="D14" s="746"/>
      <c r="E14" s="746"/>
      <c r="F14" s="232"/>
      <c r="G14" s="233"/>
      <c r="H14" s="233"/>
      <c r="I14" s="234"/>
      <c r="J14" s="235"/>
      <c r="K14" s="235"/>
      <c r="L14" s="236"/>
      <c r="M14" s="79"/>
    </row>
    <row r="15" spans="1:13" s="12" customFormat="1" ht="6" customHeight="1" x14ac:dyDescent="0.2">
      <c r="A15" s="24"/>
      <c r="B15" s="21"/>
      <c r="C15" s="21"/>
      <c r="D15" s="21"/>
      <c r="E15" s="21"/>
      <c r="F15" s="21"/>
      <c r="G15" s="21"/>
      <c r="H15" s="21"/>
      <c r="I15" s="21"/>
      <c r="J15" s="21"/>
      <c r="K15" s="21"/>
      <c r="L15" s="23"/>
    </row>
    <row r="16" spans="1:13" s="79" customFormat="1" ht="21.95" customHeight="1" x14ac:dyDescent="0.2">
      <c r="A16" s="761" t="str">
        <f>IF(Sprache=DE,"Auditteam-Leiter der letzen zwei Zertifzierungsperioden","Audit team leader of last two certification cycles")</f>
        <v>Audit team leader of last two certification cycles</v>
      </c>
      <c r="B16" s="762"/>
      <c r="C16" s="762"/>
      <c r="D16" s="762"/>
      <c r="E16" s="762"/>
      <c r="F16" s="762"/>
      <c r="G16" s="762"/>
      <c r="H16" s="762"/>
      <c r="I16" s="762"/>
      <c r="J16" s="762"/>
      <c r="K16" s="762"/>
      <c r="L16" s="763"/>
      <c r="M16"/>
    </row>
    <row r="17" spans="1:13" s="12" customFormat="1" ht="6" customHeight="1" x14ac:dyDescent="0.2">
      <c r="A17" s="24"/>
      <c r="B17" s="21"/>
      <c r="C17" s="21"/>
      <c r="D17" s="21"/>
      <c r="E17" s="21"/>
      <c r="F17" s="21"/>
      <c r="G17" s="21"/>
      <c r="H17" s="21"/>
      <c r="I17" s="21"/>
      <c r="J17" s="21"/>
      <c r="K17" s="21"/>
      <c r="L17" s="23"/>
      <c r="M17"/>
    </row>
    <row r="18" spans="1:13" ht="24" customHeight="1" x14ac:dyDescent="0.2">
      <c r="A18" s="41"/>
      <c r="B18" s="118">
        <f>J_1</f>
        <v>2017</v>
      </c>
      <c r="C18" s="68" t="str">
        <f>IF(ISBLANK(Auditteamleiter),"",Auditteamleiter)</f>
        <v/>
      </c>
      <c r="D18" s="188"/>
      <c r="E18" s="188"/>
      <c r="F18" s="188"/>
      <c r="G18" s="188"/>
      <c r="H18" s="188"/>
      <c r="I18" s="188"/>
      <c r="J18" s="2"/>
      <c r="K18" s="2"/>
      <c r="L18" s="7"/>
    </row>
    <row r="19" spans="1:13" ht="24" customHeight="1" x14ac:dyDescent="0.2">
      <c r="A19" s="41"/>
      <c r="B19" s="118">
        <f>B18-1</f>
        <v>2016</v>
      </c>
      <c r="C19" s="67" t="str">
        <f t="shared" ref="C19:C24" si="2">IF(Stufe1Init=Ja,IF(Sprache=DE,"nicht zertifiziert","not certified"),C18)</f>
        <v>not certified</v>
      </c>
      <c r="D19" s="188"/>
      <c r="E19" s="188"/>
      <c r="F19" s="188"/>
      <c r="G19" s="188"/>
      <c r="H19" s="188"/>
      <c r="I19" s="188"/>
      <c r="J19" s="2"/>
      <c r="K19" s="2"/>
      <c r="L19" s="7"/>
    </row>
    <row r="20" spans="1:13" ht="24" customHeight="1" x14ac:dyDescent="0.2">
      <c r="A20" s="41"/>
      <c r="B20" s="118">
        <f t="shared" ref="B20:B23" si="3">B19-1</f>
        <v>2015</v>
      </c>
      <c r="C20" s="67" t="str">
        <f t="shared" si="2"/>
        <v>not certified</v>
      </c>
      <c r="D20" s="188"/>
      <c r="E20" s="188"/>
      <c r="F20" s="188"/>
      <c r="G20" s="188"/>
      <c r="H20" s="188"/>
      <c r="I20" s="188"/>
      <c r="J20" s="2"/>
      <c r="K20" s="2"/>
      <c r="L20" s="7"/>
    </row>
    <row r="21" spans="1:13" ht="24" customHeight="1" x14ac:dyDescent="0.2">
      <c r="A21" s="41"/>
      <c r="B21" s="118">
        <f t="shared" si="3"/>
        <v>2014</v>
      </c>
      <c r="C21" s="67" t="str">
        <f t="shared" si="2"/>
        <v>not certified</v>
      </c>
      <c r="D21" s="188"/>
      <c r="E21" s="188"/>
      <c r="F21" s="188"/>
      <c r="G21" s="188"/>
      <c r="H21" s="188"/>
      <c r="I21" s="188"/>
      <c r="J21" s="2"/>
      <c r="K21" s="2"/>
      <c r="L21" s="7"/>
    </row>
    <row r="22" spans="1:13" ht="24" customHeight="1" x14ac:dyDescent="0.2">
      <c r="A22" s="41"/>
      <c r="B22" s="118">
        <f t="shared" si="3"/>
        <v>2013</v>
      </c>
      <c r="C22" s="67" t="str">
        <f t="shared" si="2"/>
        <v>not certified</v>
      </c>
      <c r="D22" s="188"/>
      <c r="E22" s="188"/>
      <c r="F22" s="188"/>
      <c r="G22" s="188"/>
      <c r="H22" s="188"/>
      <c r="I22" s="188"/>
      <c r="J22" s="2"/>
      <c r="K22" s="2"/>
      <c r="L22" s="7"/>
    </row>
    <row r="23" spans="1:13" ht="24" customHeight="1" x14ac:dyDescent="0.2">
      <c r="A23" s="41"/>
      <c r="B23" s="118">
        <f t="shared" si="3"/>
        <v>2012</v>
      </c>
      <c r="C23" s="67" t="str">
        <f t="shared" si="2"/>
        <v>not certified</v>
      </c>
      <c r="D23" s="188"/>
      <c r="E23" s="188"/>
      <c r="F23" s="188"/>
      <c r="G23" s="188"/>
      <c r="H23" s="188"/>
      <c r="I23" s="188"/>
      <c r="J23" s="2"/>
      <c r="K23" s="2"/>
      <c r="L23" s="7"/>
      <c r="M23" s="51"/>
    </row>
    <row r="24" spans="1:13" ht="24" customHeight="1" x14ac:dyDescent="0.2">
      <c r="A24" s="41"/>
      <c r="B24" s="118">
        <f t="shared" ref="B24" si="4">B23-1</f>
        <v>2011</v>
      </c>
      <c r="C24" s="67" t="str">
        <f t="shared" si="2"/>
        <v>not certified</v>
      </c>
      <c r="D24" s="188"/>
      <c r="E24" s="188"/>
      <c r="F24" s="188"/>
      <c r="G24" s="188"/>
      <c r="H24" s="188"/>
      <c r="I24" s="188"/>
      <c r="J24" s="2"/>
      <c r="K24" s="2"/>
      <c r="L24" s="7"/>
    </row>
    <row r="25" spans="1:13" s="51" customFormat="1" ht="24" hidden="1" customHeight="1" x14ac:dyDescent="0.2">
      <c r="A25" s="41"/>
      <c r="B25" s="188" t="str">
        <f>IF(Sprache=DE,"Gültig","Valid")</f>
        <v>Valid</v>
      </c>
      <c r="C25" s="2" t="str">
        <f>IF(Sprache=DE,"Ungültig","Invalid")</f>
        <v>Invalid</v>
      </c>
      <c r="D25" s="2"/>
      <c r="E25" s="2"/>
      <c r="F25" s="188"/>
      <c r="G25" s="188"/>
      <c r="H25" s="188"/>
      <c r="I25" s="188"/>
      <c r="J25" s="2"/>
      <c r="K25" s="2"/>
      <c r="L25" s="7"/>
      <c r="M25"/>
    </row>
    <row r="26" spans="1:13" ht="6" customHeight="1" x14ac:dyDescent="0.2">
      <c r="A26" s="41"/>
      <c r="B26" s="2"/>
      <c r="C26" s="2"/>
      <c r="D26" s="2"/>
      <c r="E26" s="2"/>
      <c r="F26" s="188"/>
      <c r="G26" s="188"/>
      <c r="H26" s="188"/>
      <c r="I26" s="188"/>
      <c r="J26" s="2"/>
      <c r="K26" s="2"/>
      <c r="L26" s="7"/>
    </row>
    <row r="27" spans="1:13" ht="24" customHeight="1" x14ac:dyDescent="0.2">
      <c r="A27" s="41"/>
      <c r="B27" s="156" t="str">
        <f>IF(Sprache=DE,"Vorschlag ist: ","Proposal is: ")</f>
        <v xml:space="preserve">Proposal is: </v>
      </c>
      <c r="C27" s="501" t="str">
        <f>IF(AND(COUNTIF(C19:C21,C18)&gt;0,COUNTIF(C22:C24,C18)&gt;0,C18&lt;&gt;""),Ungültig,Gültig)</f>
        <v>Valid</v>
      </c>
      <c r="D27" s="69"/>
      <c r="E27" s="69"/>
      <c r="F27" s="69"/>
      <c r="G27" s="69"/>
      <c r="H27" s="69"/>
      <c r="I27" s="69"/>
      <c r="J27" s="2"/>
      <c r="K27" s="2"/>
      <c r="L27" s="7"/>
      <c r="M27" s="51"/>
    </row>
    <row r="28" spans="1:13" ht="6" customHeight="1" x14ac:dyDescent="0.2">
      <c r="A28" s="41"/>
      <c r="B28" s="2"/>
      <c r="C28" s="2"/>
      <c r="D28" s="2"/>
      <c r="E28" s="2"/>
      <c r="F28" s="188"/>
      <c r="G28" s="188"/>
      <c r="H28" s="188"/>
      <c r="I28" s="188"/>
      <c r="J28" s="2"/>
      <c r="K28" s="2"/>
      <c r="L28" s="7"/>
    </row>
    <row r="29" spans="1:13" x14ac:dyDescent="0.2">
      <c r="A29" s="114" t="str">
        <f>Ausfüllanleitung</f>
        <v>Please fill coloured cells - as relevant</v>
      </c>
      <c r="B29" s="155"/>
      <c r="C29" s="155"/>
      <c r="D29" s="155"/>
      <c r="E29" s="155"/>
      <c r="F29" s="155"/>
      <c r="G29" s="155"/>
      <c r="H29" s="155"/>
      <c r="I29" s="155"/>
      <c r="J29" s="158"/>
      <c r="K29" s="158"/>
      <c r="L29" s="187" t="str">
        <f>Formblatt&amp;"/ "&amp;FormblattRev</f>
        <v>A19F100/ 02/08.17</v>
      </c>
    </row>
    <row r="30" spans="1:13" x14ac:dyDescent="0.2">
      <c r="A30" s="51"/>
      <c r="B30" s="51"/>
      <c r="C30" s="51"/>
      <c r="D30" s="51"/>
    </row>
    <row r="31" spans="1:13" x14ac:dyDescent="0.2">
      <c r="A31" s="51"/>
      <c r="B31" s="51"/>
      <c r="C31" s="51"/>
      <c r="D31" s="51"/>
      <c r="E31" s="51"/>
    </row>
    <row r="32" spans="1:13" x14ac:dyDescent="0.2">
      <c r="A32" s="51"/>
      <c r="B32" s="51"/>
      <c r="C32" s="51"/>
      <c r="D32" s="51"/>
      <c r="E32" s="51"/>
    </row>
    <row r="33" spans="1:5" x14ac:dyDescent="0.2">
      <c r="A33" s="51"/>
      <c r="B33" s="51"/>
      <c r="C33" s="51"/>
      <c r="D33" s="51"/>
      <c r="E33" s="51"/>
    </row>
    <row r="34" spans="1:5" x14ac:dyDescent="0.2">
      <c r="A34" s="51"/>
      <c r="B34" s="51"/>
      <c r="C34" s="51"/>
      <c r="D34" s="51"/>
      <c r="E34" s="51"/>
    </row>
    <row r="35" spans="1:5" x14ac:dyDescent="0.2">
      <c r="A35" s="51"/>
      <c r="B35" s="51"/>
      <c r="C35" s="51"/>
      <c r="D35" s="51"/>
      <c r="E35" s="51"/>
    </row>
    <row r="36" spans="1:5" x14ac:dyDescent="0.2">
      <c r="A36" s="51"/>
      <c r="B36" s="51"/>
      <c r="C36" s="51"/>
      <c r="D36" s="51"/>
      <c r="E36" s="51"/>
    </row>
    <row r="37" spans="1:5" x14ac:dyDescent="0.2">
      <c r="A37" s="51"/>
      <c r="B37" s="51"/>
      <c r="C37" s="51"/>
      <c r="D37" s="51"/>
      <c r="E37" s="51"/>
    </row>
    <row r="38" spans="1:5" x14ac:dyDescent="0.2">
      <c r="A38" s="51"/>
      <c r="B38" s="51"/>
      <c r="C38" s="51"/>
      <c r="D38" s="51"/>
      <c r="E38" s="51"/>
    </row>
    <row r="39" spans="1:5" x14ac:dyDescent="0.2">
      <c r="A39" s="51"/>
      <c r="B39" s="51"/>
      <c r="C39" s="51"/>
      <c r="D39" s="51"/>
      <c r="E39" s="51"/>
    </row>
    <row r="40" spans="1:5" x14ac:dyDescent="0.2">
      <c r="A40" s="51"/>
      <c r="B40" s="51"/>
      <c r="C40" s="51"/>
      <c r="D40" s="51"/>
      <c r="E40" s="51"/>
    </row>
    <row r="41" spans="1:5" x14ac:dyDescent="0.2">
      <c r="A41" s="51"/>
      <c r="B41" s="51"/>
      <c r="C41" s="51"/>
      <c r="D41" s="51"/>
      <c r="E41" s="51"/>
    </row>
    <row r="42" spans="1:5" x14ac:dyDescent="0.2">
      <c r="A42" s="51"/>
      <c r="B42" s="51"/>
      <c r="C42" s="51"/>
      <c r="D42" s="51"/>
      <c r="E42" s="51"/>
    </row>
    <row r="43" spans="1:5" x14ac:dyDescent="0.2">
      <c r="A43" s="51"/>
      <c r="B43" s="51"/>
      <c r="C43" s="51"/>
      <c r="D43" s="51"/>
      <c r="E43" s="51"/>
    </row>
    <row r="44" spans="1:5" x14ac:dyDescent="0.2">
      <c r="A44" s="51"/>
      <c r="B44" s="51"/>
      <c r="C44" s="51"/>
      <c r="D44" s="51"/>
      <c r="E44" s="51"/>
    </row>
    <row r="45" spans="1:5" x14ac:dyDescent="0.2">
      <c r="A45" s="51"/>
      <c r="B45" s="51"/>
      <c r="C45" s="51"/>
      <c r="D45" s="51"/>
      <c r="E45" s="51"/>
    </row>
    <row r="46" spans="1:5" x14ac:dyDescent="0.2">
      <c r="A46" s="51"/>
      <c r="B46" s="51"/>
      <c r="C46" s="51"/>
      <c r="D46" s="51"/>
      <c r="E46" s="51"/>
    </row>
    <row r="47" spans="1:5" x14ac:dyDescent="0.2">
      <c r="A47" s="51"/>
      <c r="B47" s="51"/>
      <c r="C47" s="51"/>
      <c r="D47" s="51"/>
      <c r="E47" s="51"/>
    </row>
    <row r="48" spans="1:5"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sheetData>
  <sheetProtection password="E9DA" sheet="1" objects="1" scenarios="1" selectLockedCells="1"/>
  <mergeCells count="30">
    <mergeCell ref="A14:B14"/>
    <mergeCell ref="A16:L16"/>
    <mergeCell ref="C6:E6"/>
    <mergeCell ref="C5:E5"/>
    <mergeCell ref="C7:E7"/>
    <mergeCell ref="C8:E8"/>
    <mergeCell ref="C9:E9"/>
    <mergeCell ref="C13:E13"/>
    <mergeCell ref="A6:B6"/>
    <mergeCell ref="A13:B13"/>
    <mergeCell ref="A9:B9"/>
    <mergeCell ref="C10:E10"/>
    <mergeCell ref="A8:B8"/>
    <mergeCell ref="C14:E14"/>
    <mergeCell ref="F5:F6"/>
    <mergeCell ref="G5:G6"/>
    <mergeCell ref="H5:H6"/>
    <mergeCell ref="I5:I6"/>
    <mergeCell ref="J5:L6"/>
    <mergeCell ref="A1:E1"/>
    <mergeCell ref="J1:L2"/>
    <mergeCell ref="A4:L4"/>
    <mergeCell ref="A2:B2"/>
    <mergeCell ref="C2:E2"/>
    <mergeCell ref="A11:B11"/>
    <mergeCell ref="C11:E11"/>
    <mergeCell ref="A12:B12"/>
    <mergeCell ref="C12:E12"/>
    <mergeCell ref="A7:B7"/>
    <mergeCell ref="A10:B10"/>
  </mergeCells>
  <conditionalFormatting sqref="C27:I27">
    <cfRule type="cellIs" dxfId="2" priority="1" operator="equal">
      <formula>Ungültig</formula>
    </cfRule>
    <cfRule type="cellIs" dxfId="1" priority="2" operator="equal">
      <formula>Gültig</formula>
    </cfRule>
  </conditionalFormatting>
  <dataValidations count="4">
    <dataValidation type="whole" allowBlank="1" showInputMessage="1" showErrorMessage="1" sqref="B18">
      <formula1>2000</formula1>
      <formula2>2050</formula2>
    </dataValidation>
    <dataValidation type="textLength" allowBlank="1" showInputMessage="1" showErrorMessage="1" sqref="B25 C18:I25">
      <formula1>0</formula1>
      <formula2>25</formula2>
    </dataValidation>
    <dataValidation type="list" allowBlank="1" showInputMessage="1" showErrorMessage="1" sqref="J7:L12">
      <formula1>Scopeliste</formula1>
    </dataValidation>
    <dataValidation type="list" allowBlank="1" showInputMessage="1" showErrorMessage="1" sqref="F7:I12">
      <formula1>Kreuz</formula1>
    </dataValidation>
  </dataValidations>
  <pageMargins left="0.70866141732283472" right="0.70866141732283472" top="0.78740157480314965" bottom="0.78740157480314965" header="0.51181102362204722" footer="0.51181102362204722"/>
  <pageSetup paperSize="9" orientation="portrait" r:id="rId1"/>
  <headerFooter scaleWithDoc="0">
    <oddHeader>&amp;L&amp;F&amp;R&amp;A</oddHeader>
    <oddFooter>&amp;LSeite &amp;P / &amp;N&amp;R&amp;D / &amp;T</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9" tint="0.39997558519241921"/>
  </sheetPr>
  <dimension ref="A1:O98"/>
  <sheetViews>
    <sheetView showGridLines="0" workbookViewId="0">
      <selection activeCell="H5" sqref="H5"/>
    </sheetView>
  </sheetViews>
  <sheetFormatPr defaultColWidth="11.42578125" defaultRowHeight="12.75" x14ac:dyDescent="0.2"/>
  <cols>
    <col min="6" max="6" width="2.7109375" customWidth="1"/>
    <col min="8" max="8" width="9.7109375" customWidth="1"/>
    <col min="9" max="9" width="7.42578125" customWidth="1"/>
    <col min="10" max="10" width="6" hidden="1" customWidth="1"/>
    <col min="11" max="11" width="3.42578125" style="243" hidden="1" customWidth="1"/>
    <col min="12" max="13" width="35.7109375" style="243" hidden="1" customWidth="1"/>
    <col min="14" max="14" width="15.7109375" customWidth="1"/>
  </cols>
  <sheetData>
    <row r="1" spans="1:15" ht="27" customHeight="1" x14ac:dyDescent="0.25">
      <c r="A1" s="546" t="str">
        <f>Titel</f>
        <v>Audit programme Aero</v>
      </c>
      <c r="B1" s="785"/>
      <c r="C1" s="785"/>
      <c r="D1" s="785"/>
      <c r="E1" s="544" t="str">
        <f>IF(Firma="","",Firma)</f>
        <v/>
      </c>
      <c r="F1" s="544"/>
      <c r="G1" s="544"/>
      <c r="H1" s="551"/>
      <c r="I1" s="552"/>
      <c r="J1" s="120"/>
      <c r="N1" s="192"/>
    </row>
    <row r="2" spans="1:15" ht="24.95" customHeight="1" x14ac:dyDescent="0.2">
      <c r="A2" s="596" t="str">
        <f>IF(Sprache=DE,"Zertifizierungsstruktur","Certification structure")</f>
        <v>Certification structure</v>
      </c>
      <c r="B2" s="597"/>
      <c r="C2" s="597"/>
      <c r="D2" s="597"/>
      <c r="E2" s="597"/>
      <c r="F2" s="597"/>
      <c r="G2" s="597"/>
      <c r="H2" s="553"/>
      <c r="I2" s="554"/>
      <c r="N2" s="192"/>
    </row>
    <row r="3" spans="1:15" s="192" customFormat="1" ht="15" customHeight="1" x14ac:dyDescent="0.2">
      <c r="A3" s="784" t="str">
        <f>IF(Sprache=DE,"Grundkriterien","Basic criteria")</f>
        <v>Basic criteria</v>
      </c>
      <c r="B3" s="784"/>
      <c r="C3" s="784"/>
      <c r="D3" s="784"/>
      <c r="E3" s="784"/>
      <c r="F3" s="784"/>
      <c r="G3" s="784"/>
      <c r="H3" s="784"/>
      <c r="I3" s="784"/>
      <c r="K3" s="243"/>
      <c r="L3" s="243"/>
      <c r="M3" s="243"/>
    </row>
    <row r="4" spans="1:15" s="12" customFormat="1" ht="6" customHeight="1" x14ac:dyDescent="0.2">
      <c r="A4" s="82"/>
      <c r="B4" s="83"/>
      <c r="C4" s="86"/>
      <c r="D4" s="170"/>
      <c r="E4" s="46"/>
      <c r="F4" s="87"/>
      <c r="G4" s="84"/>
      <c r="H4" s="85"/>
      <c r="I4" s="174"/>
      <c r="K4" s="243"/>
      <c r="L4" s="243"/>
      <c r="M4" s="243"/>
      <c r="N4" s="192"/>
    </row>
    <row r="5" spans="1:15" s="12" customFormat="1" ht="24.95" customHeight="1" x14ac:dyDescent="0.2">
      <c r="A5" s="510" t="str">
        <f>IF(Sprache=DE,"Anzahl der Standorte, die unter dem gleichen QM-System arbeiten","Number of sites operatinmg under the same QM system")&amp;": "</f>
        <v xml:space="preserve">Number of sites operatinmg under the same QM system: </v>
      </c>
      <c r="B5" s="511"/>
      <c r="C5" s="511"/>
      <c r="D5" s="511"/>
      <c r="E5" s="511"/>
      <c r="F5" s="511"/>
      <c r="G5" s="511"/>
      <c r="H5" s="149">
        <f>IF(Strukturwunsch=SingleSite,1,MSnSite1)</f>
        <v>1</v>
      </c>
      <c r="I5" s="174"/>
      <c r="K5" s="243"/>
      <c r="L5" s="243"/>
      <c r="M5" s="243"/>
      <c r="N5" s="192"/>
      <c r="O5" s="191" t="s">
        <v>861</v>
      </c>
    </row>
    <row r="6" spans="1:15" s="12" customFormat="1" ht="6" customHeight="1" x14ac:dyDescent="0.2">
      <c r="A6" s="82"/>
      <c r="B6" s="83"/>
      <c r="C6" s="86"/>
      <c r="D6" s="244"/>
      <c r="E6" s="46"/>
      <c r="F6" s="87"/>
      <c r="G6" s="84"/>
      <c r="H6" s="85"/>
      <c r="I6" s="174"/>
      <c r="K6" s="243"/>
      <c r="L6" s="243"/>
      <c r="M6" s="243"/>
      <c r="N6" s="192"/>
    </row>
    <row r="7" spans="1:15" s="12" customFormat="1" ht="24.95" customHeight="1" x14ac:dyDescent="0.2">
      <c r="A7" s="510" t="str">
        <f>IF(Sprache=DE,L38,M38)&amp;": "</f>
        <v xml:space="preserve">SINGLE SITE: Stand-alone self supporting organization: </v>
      </c>
      <c r="B7" s="511"/>
      <c r="C7" s="511"/>
      <c r="D7" s="511"/>
      <c r="E7" s="511"/>
      <c r="F7" s="511"/>
      <c r="G7" s="511"/>
      <c r="H7" s="149" t="str">
        <f>IF(H5=1,Ja,Nein)</f>
        <v>Yes</v>
      </c>
      <c r="I7" s="174"/>
      <c r="K7" s="243"/>
      <c r="L7" s="243"/>
      <c r="M7" s="243"/>
      <c r="N7" s="192"/>
      <c r="O7" s="191" t="s">
        <v>862</v>
      </c>
    </row>
    <row r="8" spans="1:15" s="12" customFormat="1" ht="6" customHeight="1" x14ac:dyDescent="0.2">
      <c r="A8" s="82"/>
      <c r="B8" s="83"/>
      <c r="C8" s="86"/>
      <c r="D8" s="244"/>
      <c r="E8" s="46"/>
      <c r="F8" s="87"/>
      <c r="G8" s="84"/>
      <c r="H8" s="85"/>
      <c r="I8" s="174"/>
      <c r="K8" s="243"/>
      <c r="L8" s="243"/>
      <c r="M8" s="243"/>
      <c r="N8" s="192"/>
    </row>
    <row r="9" spans="1:15" s="12" customFormat="1" ht="24.95" customHeight="1" x14ac:dyDescent="0.2">
      <c r="A9" s="510" t="str">
        <f>IF(Sprache=DE,$L$51,$M$51)&amp;": "</f>
        <v xml:space="preserve">CAMPUS:In one single value stream the outputs from one site are an input to another site to realize the final product or service: </v>
      </c>
      <c r="B9" s="511"/>
      <c r="C9" s="511"/>
      <c r="D9" s="511"/>
      <c r="E9" s="511"/>
      <c r="F9" s="511"/>
      <c r="G9" s="512"/>
      <c r="H9" s="149"/>
      <c r="I9" s="174"/>
      <c r="K9" s="243"/>
      <c r="L9" s="243"/>
      <c r="M9" s="243"/>
      <c r="N9" s="192"/>
    </row>
    <row r="10" spans="1:15" s="12" customFormat="1" ht="6" customHeight="1" x14ac:dyDescent="0.2">
      <c r="A10" s="246"/>
      <c r="B10" s="83"/>
      <c r="C10" s="86"/>
      <c r="D10" s="245"/>
      <c r="E10" s="46"/>
      <c r="F10" s="87"/>
      <c r="G10" s="84"/>
      <c r="H10" s="85"/>
      <c r="I10" s="174"/>
      <c r="K10" s="243"/>
      <c r="L10" s="243"/>
      <c r="M10" s="243"/>
      <c r="N10" s="192"/>
    </row>
    <row r="11" spans="1:15" s="12" customFormat="1" ht="24.95" customHeight="1" x14ac:dyDescent="0.2">
      <c r="A11" s="510" t="str">
        <f>IF(Sprache=DE,$L$46,$M$46)&amp;": "</f>
        <v xml:space="preserve">MULTIPLE SITES: All QM system processes at all sites are substantially (i.e., &gt;80 %) the same and are operated to the same methods and procedures (complies with IAF MD 1): </v>
      </c>
      <c r="B11" s="511"/>
      <c r="C11" s="511"/>
      <c r="D11" s="511"/>
      <c r="E11" s="511"/>
      <c r="F11" s="511"/>
      <c r="G11" s="511"/>
      <c r="H11" s="149"/>
      <c r="I11" s="174"/>
      <c r="K11" s="243"/>
      <c r="L11" s="243"/>
      <c r="M11" s="243"/>
      <c r="N11" s="192"/>
    </row>
    <row r="12" spans="1:15" s="12" customFormat="1" ht="6" customHeight="1" x14ac:dyDescent="0.2">
      <c r="A12" s="246"/>
      <c r="B12" s="83"/>
      <c r="C12" s="86"/>
      <c r="D12" s="245"/>
      <c r="E12" s="46"/>
      <c r="F12" s="87"/>
      <c r="G12" s="84"/>
      <c r="H12" s="85"/>
      <c r="I12" s="174"/>
      <c r="K12" s="243"/>
      <c r="L12" s="243"/>
      <c r="M12" s="243"/>
      <c r="N12" s="192"/>
    </row>
    <row r="13" spans="1:15" s="12" customFormat="1" ht="24.95" customHeight="1" x14ac:dyDescent="0.2">
      <c r="A13" s="510" t="str">
        <f>IF(Sprache=DE,$L$56,$M$56)&amp;": "</f>
        <v xml:space="preserve">SEVERAL SITES: Processes at each of the sites are not substantially similar (i.e., &lt;80 % similar).: </v>
      </c>
      <c r="B13" s="511"/>
      <c r="C13" s="511"/>
      <c r="D13" s="511"/>
      <c r="E13" s="511"/>
      <c r="F13" s="511"/>
      <c r="G13" s="511"/>
      <c r="H13" s="149"/>
      <c r="I13" s="247"/>
      <c r="K13" s="243"/>
      <c r="L13" s="243"/>
      <c r="M13" s="243"/>
      <c r="N13" s="192"/>
    </row>
    <row r="14" spans="1:15" s="12" customFormat="1" ht="6" customHeight="1" x14ac:dyDescent="0.2">
      <c r="A14" s="246"/>
      <c r="B14" s="83"/>
      <c r="C14" s="86"/>
      <c r="D14" s="245"/>
      <c r="E14" s="46"/>
      <c r="F14" s="87"/>
      <c r="G14" s="84"/>
      <c r="H14" s="85"/>
      <c r="I14" s="174"/>
      <c r="K14" s="243"/>
      <c r="L14" s="243"/>
      <c r="M14" s="243"/>
      <c r="N14" s="192"/>
    </row>
    <row r="15" spans="1:15" s="12" customFormat="1" ht="24.95" customHeight="1" x14ac:dyDescent="0.2">
      <c r="A15" s="510" t="str">
        <f>IF(Sprache=DE,$L$61,$M$61)&amp;": "</f>
        <v xml:space="preserve">COMPLEX: Overall structure contains combinations of multiple sites, campus (can be more than one campus/value stream), or several sites.: </v>
      </c>
      <c r="B15" s="511"/>
      <c r="C15" s="511"/>
      <c r="D15" s="511"/>
      <c r="E15" s="511"/>
      <c r="F15" s="511"/>
      <c r="G15" s="511"/>
      <c r="H15" s="149"/>
      <c r="I15" s="174"/>
      <c r="K15" s="243"/>
      <c r="L15" s="243"/>
      <c r="M15" s="243"/>
      <c r="N15" s="192"/>
    </row>
    <row r="16" spans="1:15" ht="6" customHeight="1" x14ac:dyDescent="0.2">
      <c r="A16" s="82"/>
      <c r="B16" s="83"/>
      <c r="C16" s="86"/>
      <c r="D16" s="244"/>
      <c r="E16" s="46"/>
      <c r="F16" s="87"/>
      <c r="G16" s="84"/>
      <c r="H16" s="85"/>
      <c r="I16" s="174"/>
      <c r="N16" s="192"/>
    </row>
    <row r="17" spans="1:14" ht="24.95" customHeight="1" x14ac:dyDescent="0.2">
      <c r="A17" s="510" t="str">
        <f>IF(Sprache=DE,"Auswahl nach Arbeitsprinzip gültig,  d.h. nur ein JA in Auswahl und Anzahl Standorte passt dazu?","Selection vaild, meaning just one YES in Selection and # of sites is adequate?")</f>
        <v>Selection vaild, meaning just one YES in Selection and # of sites is adequate?</v>
      </c>
      <c r="B17" s="511"/>
      <c r="C17" s="511"/>
      <c r="D17" s="511"/>
      <c r="E17" s="511"/>
      <c r="F17" s="511"/>
      <c r="G17" s="511"/>
      <c r="H17" s="152" t="str">
        <f>IF(OR(AND(SE_SinSit=Nein,COUNTIF(SE_SelSites,Ja)=1),AND(SE_SinSit=Ja,SE_nSites=1,COUNTIF(SE_SelSites,Ja)=0)),Ja,Nein)</f>
        <v>Yes</v>
      </c>
      <c r="I17" s="136"/>
      <c r="N17" s="192"/>
    </row>
    <row r="18" spans="1:14" ht="6" customHeight="1" x14ac:dyDescent="0.2">
      <c r="A18" s="246"/>
      <c r="B18" s="83"/>
      <c r="C18" s="86"/>
      <c r="D18" s="245"/>
      <c r="E18" s="46"/>
      <c r="F18" s="87"/>
      <c r="G18" s="84"/>
      <c r="H18" s="85"/>
      <c r="I18" s="174"/>
      <c r="N18" s="192"/>
    </row>
    <row r="19" spans="1:14" s="192" customFormat="1" ht="15" customHeight="1" x14ac:dyDescent="0.2">
      <c r="A19" s="784" t="str">
        <f>IF(Sprache=DE,"Erweiterte Kriterien","Extended criteria")</f>
        <v>Extended criteria</v>
      </c>
      <c r="B19" s="784"/>
      <c r="C19" s="784"/>
      <c r="D19" s="784"/>
      <c r="E19" s="784"/>
      <c r="F19" s="784"/>
      <c r="G19" s="784"/>
      <c r="H19" s="784"/>
      <c r="I19" s="784"/>
      <c r="K19" s="243"/>
      <c r="L19" s="243"/>
      <c r="M19" s="243"/>
    </row>
    <row r="20" spans="1:14" s="192" customFormat="1" ht="6" customHeight="1" x14ac:dyDescent="0.2">
      <c r="A20" s="246"/>
      <c r="B20" s="83"/>
      <c r="C20" s="86"/>
      <c r="D20" s="245"/>
      <c r="E20" s="46"/>
      <c r="F20" s="87"/>
      <c r="G20" s="84"/>
      <c r="H20" s="85"/>
      <c r="I20" s="174"/>
      <c r="K20" s="243"/>
      <c r="L20" s="243"/>
      <c r="M20" s="243"/>
    </row>
    <row r="21" spans="1:14" ht="24.95" customHeight="1" x14ac:dyDescent="0.2">
      <c r="A21" s="510" t="str">
        <f>IF($H$7=Ja,IF(Sprache=DE,$L$39,$M$39),IF($H$7=Nein,IF(Sprache=DE,$L$42,$M$42),""))&amp;": "</f>
        <v xml:space="preserve">No value stream dependencies from related companies, operating under the same quality management system: </v>
      </c>
      <c r="B21" s="511"/>
      <c r="C21" s="511"/>
      <c r="D21" s="511"/>
      <c r="E21" s="511"/>
      <c r="F21" s="511"/>
      <c r="G21" s="512"/>
      <c r="H21" s="149"/>
      <c r="I21" s="174"/>
      <c r="J21">
        <f>IF(OR(TRIM(A21)=":",H21=Ja),1,0)</f>
        <v>0</v>
      </c>
      <c r="N21" s="192"/>
    </row>
    <row r="22" spans="1:14" s="192" customFormat="1" ht="6" customHeight="1" x14ac:dyDescent="0.2">
      <c r="A22" s="246"/>
      <c r="B22" s="83"/>
      <c r="C22" s="86"/>
      <c r="D22" s="245"/>
      <c r="E22" s="46"/>
      <c r="F22" s="87"/>
      <c r="G22" s="84"/>
      <c r="H22" s="85"/>
      <c r="I22" s="174"/>
      <c r="K22" s="243"/>
      <c r="L22" s="243"/>
      <c r="M22" s="243"/>
    </row>
    <row r="23" spans="1:14" s="192" customFormat="1" ht="24" customHeight="1" x14ac:dyDescent="0.2">
      <c r="A23" s="510" t="str">
        <f>IF($H$7=Ja,IF(Sprache=DE,$L$40,$M$40),IF($H$7=Nein,IF(Sprache=DE,$L$43,$M$43),""))&amp;": "</f>
        <v xml:space="preserve">One address: </v>
      </c>
      <c r="B23" s="511"/>
      <c r="C23" s="511"/>
      <c r="D23" s="511"/>
      <c r="E23" s="511"/>
      <c r="F23" s="511"/>
      <c r="G23" s="512"/>
      <c r="H23" s="149"/>
      <c r="I23" s="174"/>
      <c r="J23" s="192">
        <f>IF(OR(TRIM(A23)=":",H23=Ja),1,0)</f>
        <v>0</v>
      </c>
      <c r="K23" s="243"/>
      <c r="L23" s="243"/>
      <c r="M23" s="243"/>
    </row>
    <row r="24" spans="1:14" s="192" customFormat="1" ht="6" customHeight="1" x14ac:dyDescent="0.2">
      <c r="A24" s="82"/>
      <c r="B24" s="83"/>
      <c r="C24" s="86"/>
      <c r="D24" s="244"/>
      <c r="E24" s="46"/>
      <c r="F24" s="87"/>
      <c r="G24" s="84"/>
      <c r="H24" s="85"/>
      <c r="I24" s="174"/>
      <c r="K24" s="243"/>
      <c r="L24" s="243"/>
      <c r="M24" s="243"/>
    </row>
    <row r="25" spans="1:14" s="192" customFormat="1" ht="24" customHeight="1" x14ac:dyDescent="0.2">
      <c r="A25" s="510" t="str">
        <f>IF($H$7=Nein,IF(Sprache=DE,$L$44,$M$44),"")&amp;": "</f>
        <v xml:space="preserve">: </v>
      </c>
      <c r="B25" s="511"/>
      <c r="C25" s="511"/>
      <c r="D25" s="511"/>
      <c r="E25" s="511"/>
      <c r="F25" s="511"/>
      <c r="G25" s="512"/>
      <c r="H25" s="149"/>
      <c r="I25" s="174"/>
      <c r="J25" s="192">
        <f>IF(OR(LEN(TRIM(A25))&lt;=1,H25=Ja),1,0)</f>
        <v>1</v>
      </c>
      <c r="K25" s="243"/>
      <c r="L25" s="243"/>
      <c r="M25" s="243"/>
    </row>
    <row r="26" spans="1:14" s="192" customFormat="1" ht="6" customHeight="1" x14ac:dyDescent="0.2">
      <c r="A26" s="82"/>
      <c r="B26" s="83"/>
      <c r="C26" s="86"/>
      <c r="D26" s="244"/>
      <c r="E26" s="46"/>
      <c r="F26" s="87"/>
      <c r="G26" s="84"/>
      <c r="H26" s="85"/>
      <c r="I26" s="174"/>
      <c r="K26" s="243"/>
      <c r="L26" s="243"/>
      <c r="M26" s="243"/>
    </row>
    <row r="27" spans="1:14" ht="24" customHeight="1" x14ac:dyDescent="0.2">
      <c r="A27" s="510" t="str">
        <f>IF($H$7=Nein,IF(Sprache=DE,$L$45,$M$45),"")&amp;": "</f>
        <v xml:space="preserve">: </v>
      </c>
      <c r="B27" s="511"/>
      <c r="C27" s="511"/>
      <c r="D27" s="511"/>
      <c r="E27" s="511"/>
      <c r="F27" s="511"/>
      <c r="G27" s="512"/>
      <c r="H27" s="149"/>
      <c r="I27" s="247"/>
      <c r="J27" s="192">
        <f>IF(OR(LEN(TRIM(A27))&lt;=1,H27=Ja),1,0)</f>
        <v>1</v>
      </c>
      <c r="N27" s="192"/>
    </row>
    <row r="28" spans="1:14" s="192" customFormat="1" ht="6" customHeight="1" x14ac:dyDescent="0.2">
      <c r="A28" s="82"/>
      <c r="B28" s="83"/>
      <c r="C28" s="86"/>
      <c r="D28" s="244"/>
      <c r="E28" s="46"/>
      <c r="F28" s="87"/>
      <c r="G28" s="84"/>
      <c r="H28" s="85"/>
      <c r="I28" s="174"/>
      <c r="K28" s="243"/>
      <c r="L28" s="243"/>
      <c r="M28" s="243"/>
    </row>
    <row r="29" spans="1:14" s="192" customFormat="1" ht="24" customHeight="1" x14ac:dyDescent="0.2">
      <c r="A29" s="510" t="str">
        <f>IF($H$7=Nein,IF($H$9=Ja,IF(Sprache=DE,$L$52,$M$52),IF($H$11=Ja,IF(Sprache=DE,$L$47,$M$47),IF($H$13=Ja,IF(Sprache=DE,$L$57,$M$57),IF($H$15=Ja,IF(Sprache=DE,$L$63,$M$63),"")))),"")&amp;": "</f>
        <v xml:space="preserve">: </v>
      </c>
      <c r="B29" s="511"/>
      <c r="C29" s="511"/>
      <c r="D29" s="511"/>
      <c r="E29" s="511"/>
      <c r="F29" s="511"/>
      <c r="G29" s="512"/>
      <c r="H29" s="149"/>
      <c r="I29" s="174"/>
      <c r="J29" s="192">
        <f>IF(OR(LEN(TRIM(A29))&lt;=1,H29=Ja),1,0)</f>
        <v>1</v>
      </c>
      <c r="K29" s="243"/>
      <c r="L29" s="243"/>
      <c r="M29" s="243"/>
    </row>
    <row r="30" spans="1:14" s="192" customFormat="1" ht="6" customHeight="1" x14ac:dyDescent="0.2">
      <c r="A30" s="246"/>
      <c r="B30" s="83"/>
      <c r="C30" s="86"/>
      <c r="D30" s="245"/>
      <c r="E30" s="46"/>
      <c r="F30" s="87"/>
      <c r="G30" s="84"/>
      <c r="H30" s="85"/>
      <c r="I30" s="174"/>
      <c r="K30" s="243"/>
      <c r="L30" s="243"/>
      <c r="M30" s="243"/>
    </row>
    <row r="31" spans="1:14" s="192" customFormat="1" ht="24" customHeight="1" x14ac:dyDescent="0.2">
      <c r="A31" s="510" t="str">
        <f>IF($H$7=Nein,IF($H$9=Ja,IF(Sprache=DE,$L$53,$M$53),IF($H$11=Ja,IF(Sprache=DE,$L$48,$M$48),IF($H$13=Ja,IF(Sprache=DE,$L$58,$M$58),""))),"")&amp;": "</f>
        <v xml:space="preserve">: </v>
      </c>
      <c r="B31" s="511"/>
      <c r="C31" s="511"/>
      <c r="D31" s="511"/>
      <c r="E31" s="511"/>
      <c r="F31" s="511"/>
      <c r="G31" s="512"/>
      <c r="H31" s="149"/>
      <c r="I31" s="174"/>
      <c r="J31" s="192">
        <f>IF(OR(LEN(TRIM(A31))&lt;=1,H31=Ja),1,0)</f>
        <v>1</v>
      </c>
      <c r="K31" s="243"/>
      <c r="L31" s="243"/>
      <c r="M31" s="243"/>
    </row>
    <row r="32" spans="1:14" s="192" customFormat="1" ht="6" customHeight="1" x14ac:dyDescent="0.2">
      <c r="A32" s="246"/>
      <c r="B32" s="83"/>
      <c r="C32" s="86"/>
      <c r="D32" s="245"/>
      <c r="E32" s="46"/>
      <c r="F32" s="87"/>
      <c r="G32" s="84"/>
      <c r="H32" s="85"/>
      <c r="I32" s="174"/>
      <c r="K32" s="243"/>
      <c r="L32" s="243"/>
      <c r="M32" s="243"/>
    </row>
    <row r="33" spans="1:13" s="192" customFormat="1" ht="24" customHeight="1" x14ac:dyDescent="0.2">
      <c r="A33" s="510" t="str">
        <f>IF($H$7=Nein,IF($H$9=Ja,IF(Sprache=DE,$L$54,$M$54),IF($H$11=Ja,IF(Sprache=DE,$L$49,$M$49),IF($H$13=Ja,IF(Sprache=DE,$L$59,$M$59),""))),"")&amp;": "</f>
        <v xml:space="preserve">: </v>
      </c>
      <c r="B33" s="511"/>
      <c r="C33" s="511"/>
      <c r="D33" s="511"/>
      <c r="E33" s="511"/>
      <c r="F33" s="511"/>
      <c r="G33" s="512"/>
      <c r="H33" s="149"/>
      <c r="I33" s="174"/>
      <c r="J33" s="192">
        <f>IF(OR(LEN(TRIM(A33))&lt;=1,H33=Ja),1,0)</f>
        <v>1</v>
      </c>
      <c r="K33" s="243"/>
      <c r="L33" s="243"/>
      <c r="M33" s="243"/>
    </row>
    <row r="34" spans="1:13" s="192" customFormat="1" ht="6" customHeight="1" x14ac:dyDescent="0.2">
      <c r="A34" s="82"/>
      <c r="B34" s="83"/>
      <c r="C34" s="86"/>
      <c r="D34" s="244"/>
      <c r="E34" s="46"/>
      <c r="F34" s="87"/>
      <c r="G34" s="84"/>
      <c r="H34" s="85"/>
      <c r="I34" s="174"/>
      <c r="K34" s="243"/>
      <c r="L34" s="243"/>
      <c r="M34" s="243"/>
    </row>
    <row r="35" spans="1:13" s="192" customFormat="1" ht="24" customHeight="1" x14ac:dyDescent="0.2">
      <c r="A35" s="510" t="str">
        <f>IF(Sprache=DE,"Auswahl ist gültig","Selection is valid")&amp;": "</f>
        <v xml:space="preserve">Selection is valid: </v>
      </c>
      <c r="B35" s="511"/>
      <c r="C35" s="511"/>
      <c r="D35" s="511"/>
      <c r="E35" s="511"/>
      <c r="F35" s="511"/>
      <c r="G35" s="512"/>
      <c r="H35" s="152" t="str">
        <f>IF(AND(SUM(J21:J33)=7,H17=Ja),Ja,Nein)</f>
        <v>No</v>
      </c>
      <c r="I35" s="174"/>
      <c r="J35" s="192" t="str">
        <f>IF(H7=Ja,SingleSite,IF(H9=Ja,Campus,IF(H11=Ja,MultipleSite,IF(H13=Ja,SeveralSite,Complex))))</f>
        <v>Single Site</v>
      </c>
      <c r="K35" s="243"/>
      <c r="L35" s="243"/>
      <c r="M35" s="243"/>
    </row>
    <row r="36" spans="1:13" s="192" customFormat="1" ht="6" customHeight="1" x14ac:dyDescent="0.2">
      <c r="A36" s="82"/>
      <c r="B36" s="83"/>
      <c r="C36" s="86"/>
      <c r="D36" s="244"/>
      <c r="E36" s="46"/>
      <c r="F36" s="87"/>
      <c r="G36" s="84"/>
      <c r="H36" s="85"/>
      <c r="I36" s="174"/>
      <c r="K36" s="243"/>
      <c r="L36" s="243"/>
      <c r="M36" s="243"/>
    </row>
    <row r="37" spans="1:13" s="192" customFormat="1" ht="15" customHeight="1" x14ac:dyDescent="0.2">
      <c r="A37" s="786" t="str">
        <f>IF(Sprache=DE,"Entscheidung des Bewerters über Struktur durch Zert-Stelle","Decision of Evaluator of CB on Structure")</f>
        <v>Decision of Evaluator of CB on Structure</v>
      </c>
      <c r="B37" s="787"/>
      <c r="C37" s="787"/>
      <c r="D37" s="787"/>
      <c r="E37" s="787"/>
      <c r="F37" s="787"/>
      <c r="G37" s="787"/>
      <c r="H37" s="787"/>
      <c r="I37" s="788"/>
      <c r="K37" s="248"/>
      <c r="L37" s="771" t="s">
        <v>10</v>
      </c>
      <c r="M37" s="771"/>
    </row>
    <row r="38" spans="1:13" s="192" customFormat="1" ht="6" customHeight="1" x14ac:dyDescent="0.2">
      <c r="A38" s="82"/>
      <c r="B38" s="83"/>
      <c r="C38" s="86"/>
      <c r="D38" s="88"/>
      <c r="E38" s="46"/>
      <c r="F38" s="87"/>
      <c r="G38" s="84"/>
      <c r="H38" s="85"/>
      <c r="I38" s="174"/>
      <c r="K38" s="249">
        <v>1</v>
      </c>
      <c r="L38" s="248" t="s">
        <v>855</v>
      </c>
      <c r="M38" s="248" t="s">
        <v>856</v>
      </c>
    </row>
    <row r="39" spans="1:13" ht="24" customHeight="1" x14ac:dyDescent="0.2">
      <c r="A39" s="510" t="str">
        <f>IF(Sprache=DE,"Struktur aus Daten/Angaben bekannt:","Structure known from data/information:")</f>
        <v>Structure known from data/information:</v>
      </c>
      <c r="B39" s="511"/>
      <c r="C39" s="512"/>
      <c r="D39" s="149" t="str">
        <f>Ja</f>
        <v>Yes</v>
      </c>
      <c r="E39" s="172"/>
      <c r="F39" s="172"/>
      <c r="G39" s="172"/>
      <c r="H39" s="172"/>
      <c r="I39" s="175"/>
      <c r="K39" s="249">
        <v>2</v>
      </c>
      <c r="L39" s="248" t="s">
        <v>842</v>
      </c>
      <c r="M39" s="248" t="s">
        <v>843</v>
      </c>
    </row>
    <row r="40" spans="1:13" ht="6" customHeight="1" x14ac:dyDescent="0.2">
      <c r="A40" s="82"/>
      <c r="B40" s="83"/>
      <c r="C40" s="86"/>
      <c r="D40" s="88"/>
      <c r="E40" s="46"/>
      <c r="F40" s="87"/>
      <c r="G40" s="84"/>
      <c r="H40" s="85"/>
      <c r="I40" s="174"/>
      <c r="K40" s="249">
        <v>3</v>
      </c>
      <c r="L40" s="248" t="s">
        <v>826</v>
      </c>
      <c r="M40" s="248" t="s">
        <v>841</v>
      </c>
    </row>
    <row r="41" spans="1:13" ht="24" customHeight="1" x14ac:dyDescent="0.2">
      <c r="A41" s="510" t="str">
        <f>IF(Sprache=DE,"Struktur aus Audits bekannt:","Structure known form audits:")</f>
        <v>Structure known form audits:</v>
      </c>
      <c r="B41" s="511"/>
      <c r="C41" s="512"/>
      <c r="D41" s="149" t="str">
        <f>Nein</f>
        <v>No</v>
      </c>
      <c r="E41" s="172"/>
      <c r="F41" s="172"/>
      <c r="G41" s="172"/>
      <c r="H41" s="172"/>
      <c r="I41" s="175"/>
      <c r="K41" s="249"/>
      <c r="L41" s="771" t="s">
        <v>818</v>
      </c>
      <c r="M41" s="771"/>
    </row>
    <row r="42" spans="1:13" ht="6" customHeight="1" x14ac:dyDescent="0.2">
      <c r="A42" s="82"/>
      <c r="B42" s="83"/>
      <c r="C42" s="86"/>
      <c r="D42" s="88"/>
      <c r="E42" s="46"/>
      <c r="F42" s="87"/>
      <c r="G42" s="84"/>
      <c r="H42" s="85"/>
      <c r="I42" s="174"/>
      <c r="K42" s="249">
        <v>1</v>
      </c>
      <c r="L42" s="250" t="s">
        <v>844</v>
      </c>
      <c r="M42" s="250" t="s">
        <v>845</v>
      </c>
    </row>
    <row r="43" spans="1:13" ht="24" customHeight="1" x14ac:dyDescent="0.2">
      <c r="A43" s="510" t="str">
        <f>IF(Sprache=DE,"Informationen genügen für Entscheidung :","Information sufficient to decide:")</f>
        <v>Information sufficient to decide:</v>
      </c>
      <c r="B43" s="511"/>
      <c r="C43" s="512"/>
      <c r="D43" s="149" t="str">
        <f>Ja</f>
        <v>Yes</v>
      </c>
      <c r="E43" s="46"/>
      <c r="F43" s="87"/>
      <c r="G43" s="84"/>
      <c r="H43" s="85"/>
      <c r="I43" s="174"/>
      <c r="K43" s="249">
        <v>2</v>
      </c>
      <c r="L43" s="250" t="s">
        <v>846</v>
      </c>
      <c r="M43" s="250" t="s">
        <v>847</v>
      </c>
    </row>
    <row r="44" spans="1:13" ht="6" customHeight="1" x14ac:dyDescent="0.2">
      <c r="A44" s="82"/>
      <c r="B44" s="83"/>
      <c r="C44" s="86"/>
      <c r="D44" s="88"/>
      <c r="E44" s="89"/>
      <c r="F44" s="87"/>
      <c r="G44" s="84"/>
      <c r="H44" s="85"/>
      <c r="I44" s="174"/>
      <c r="K44" s="249">
        <v>3</v>
      </c>
      <c r="L44" s="250" t="s">
        <v>848</v>
      </c>
      <c r="M44" s="250" t="s">
        <v>819</v>
      </c>
    </row>
    <row r="45" spans="1:13" ht="24" customHeight="1" x14ac:dyDescent="0.2">
      <c r="A45" s="82"/>
      <c r="B45" s="505" t="str">
        <f>IF(Sprache=DE," Entscheidung Struktur:","Decision Structure:")</f>
        <v>Decision Structure:</v>
      </c>
      <c r="C45" s="505"/>
      <c r="D45" s="780" t="str">
        <f>IF(H35=Ja,J35,"")</f>
        <v/>
      </c>
      <c r="E45" s="781"/>
      <c r="F45" s="172"/>
      <c r="G45" s="172"/>
      <c r="H45" s="172"/>
      <c r="I45" s="27"/>
      <c r="K45" s="249">
        <v>4</v>
      </c>
      <c r="L45" s="248" t="s">
        <v>850</v>
      </c>
      <c r="M45" s="250" t="s">
        <v>849</v>
      </c>
    </row>
    <row r="46" spans="1:13" ht="6" customHeight="1" x14ac:dyDescent="0.2">
      <c r="A46" s="82"/>
      <c r="B46" s="83"/>
      <c r="C46" s="86"/>
      <c r="D46" s="88"/>
      <c r="E46" s="89"/>
      <c r="F46" s="178"/>
      <c r="G46" s="178"/>
      <c r="H46" s="178"/>
      <c r="I46" s="179"/>
      <c r="K46" s="249">
        <v>6</v>
      </c>
      <c r="L46" s="250" t="s">
        <v>859</v>
      </c>
      <c r="M46" s="250" t="s">
        <v>860</v>
      </c>
    </row>
    <row r="47" spans="1:13" ht="24" customHeight="1" x14ac:dyDescent="0.2">
      <c r="A47" s="504" t="str">
        <f>IF(Sprache=DE,"Bewertung/Entscheidung durch:","Reviewed/Decided by:")</f>
        <v>Reviewed/Decided by:</v>
      </c>
      <c r="B47" s="505"/>
      <c r="C47" s="505"/>
      <c r="D47" s="782"/>
      <c r="E47" s="783"/>
      <c r="F47" s="178"/>
      <c r="G47" s="774" t="str">
        <f>IF(Sprache=DE,"Name und Datum nur erforderlich bei Mehrfach-Standorten","Name and Date required only, if more than one site exists")</f>
        <v>Name and Date required only, if more than one site exists</v>
      </c>
      <c r="H47" s="775"/>
      <c r="I47" s="179"/>
      <c r="K47" s="249">
        <v>7</v>
      </c>
      <c r="L47" s="250" t="s">
        <v>829</v>
      </c>
      <c r="M47" s="250" t="s">
        <v>820</v>
      </c>
    </row>
    <row r="48" spans="1:13" ht="6" customHeight="1" x14ac:dyDescent="0.2">
      <c r="A48" s="13"/>
      <c r="B48" s="14"/>
      <c r="C48" s="14"/>
      <c r="D48" s="14"/>
      <c r="E48" s="14"/>
      <c r="F48" s="178"/>
      <c r="G48" s="776"/>
      <c r="H48" s="777"/>
      <c r="I48" s="179"/>
      <c r="K48" s="249">
        <v>8</v>
      </c>
      <c r="L48" s="250" t="s">
        <v>830</v>
      </c>
      <c r="M48" s="250" t="s">
        <v>839</v>
      </c>
    </row>
    <row r="49" spans="1:13" ht="24" customHeight="1" x14ac:dyDescent="0.2">
      <c r="A49" s="13"/>
      <c r="B49" s="505" t="str">
        <f>IF(Sprache=DE,"Datum Entscheidung","Date Decision")&amp;":"</f>
        <v>Date Decision:</v>
      </c>
      <c r="C49" s="506"/>
      <c r="D49" s="173"/>
      <c r="E49" s="14"/>
      <c r="F49" s="178"/>
      <c r="G49" s="778"/>
      <c r="H49" s="779"/>
      <c r="I49" s="179"/>
      <c r="K49" s="249">
        <v>9</v>
      </c>
      <c r="L49" s="250" t="s">
        <v>831</v>
      </c>
      <c r="M49" s="250" t="s">
        <v>821</v>
      </c>
    </row>
    <row r="50" spans="1:13" ht="6" customHeight="1" x14ac:dyDescent="0.2">
      <c r="A50" s="13"/>
      <c r="B50" s="14"/>
      <c r="C50" s="14"/>
      <c r="D50" s="14"/>
      <c r="E50" s="14"/>
      <c r="F50" s="180"/>
      <c r="G50" s="180"/>
      <c r="H50" s="180"/>
      <c r="I50" s="181"/>
      <c r="K50" s="249"/>
      <c r="L50" s="771" t="s">
        <v>12</v>
      </c>
      <c r="M50" s="771"/>
    </row>
    <row r="51" spans="1:13" ht="24" customHeight="1" x14ac:dyDescent="0.2">
      <c r="A51" s="176" t="str">
        <f>Ausfüllanleitung</f>
        <v>Please fill coloured cells - as relevant</v>
      </c>
      <c r="B51" s="177"/>
      <c r="C51" s="177"/>
      <c r="D51" s="177"/>
      <c r="E51" s="177"/>
      <c r="F51" s="177"/>
      <c r="G51" s="772" t="str">
        <f>Formblatt&amp;"/"&amp;FormblattRev</f>
        <v>A19F100/02/08.17</v>
      </c>
      <c r="H51" s="772"/>
      <c r="I51" s="773"/>
      <c r="K51" s="249">
        <v>5</v>
      </c>
      <c r="L51" s="250" t="s">
        <v>851</v>
      </c>
      <c r="M51" s="250" t="s">
        <v>852</v>
      </c>
    </row>
    <row r="52" spans="1:13" ht="45" x14ac:dyDescent="0.2">
      <c r="A52" s="192"/>
      <c r="B52" s="192"/>
      <c r="C52" s="192"/>
      <c r="D52" s="192"/>
      <c r="E52" s="192"/>
      <c r="F52" s="192"/>
      <c r="G52" s="192"/>
      <c r="H52" s="192"/>
      <c r="I52" s="192"/>
      <c r="K52" s="249">
        <v>6</v>
      </c>
      <c r="L52" s="250" t="s">
        <v>832</v>
      </c>
      <c r="M52" s="250" t="s">
        <v>822</v>
      </c>
    </row>
    <row r="53" spans="1:13" ht="56.25" x14ac:dyDescent="0.2">
      <c r="K53" s="249">
        <v>7</v>
      </c>
      <c r="L53" s="250" t="s">
        <v>833</v>
      </c>
      <c r="M53" s="250" t="s">
        <v>827</v>
      </c>
    </row>
    <row r="54" spans="1:13" x14ac:dyDescent="0.2">
      <c r="K54" s="249">
        <v>8</v>
      </c>
      <c r="L54" s="250" t="s">
        <v>834</v>
      </c>
      <c r="M54" s="250" t="s">
        <v>823</v>
      </c>
    </row>
    <row r="55" spans="1:13" x14ac:dyDescent="0.2">
      <c r="K55" s="249"/>
      <c r="L55" s="251" t="s">
        <v>42</v>
      </c>
      <c r="M55" s="251"/>
    </row>
    <row r="56" spans="1:13" ht="33.75" x14ac:dyDescent="0.2">
      <c r="A56" s="192"/>
      <c r="B56" s="192"/>
      <c r="C56" s="192"/>
      <c r="D56" s="192"/>
      <c r="E56" s="192"/>
      <c r="F56" s="192"/>
      <c r="G56" s="192"/>
      <c r="H56" s="192"/>
      <c r="I56" s="192"/>
      <c r="K56" s="249">
        <v>5</v>
      </c>
      <c r="L56" s="250" t="s">
        <v>857</v>
      </c>
      <c r="M56" s="250" t="s">
        <v>853</v>
      </c>
    </row>
    <row r="57" spans="1:13" s="192" customFormat="1" ht="45" x14ac:dyDescent="0.2">
      <c r="K57" s="249">
        <v>6</v>
      </c>
      <c r="L57" s="250" t="s">
        <v>835</v>
      </c>
      <c r="M57" s="250" t="s">
        <v>824</v>
      </c>
    </row>
    <row r="58" spans="1:13" ht="22.5" x14ac:dyDescent="0.2">
      <c r="A58" s="192"/>
      <c r="B58" s="192"/>
      <c r="C58" s="192"/>
      <c r="D58" s="192"/>
      <c r="E58" s="192"/>
      <c r="F58" s="192"/>
      <c r="G58" s="192"/>
      <c r="H58" s="192"/>
      <c r="I58" s="192"/>
      <c r="K58" s="249">
        <v>7</v>
      </c>
      <c r="L58" s="250" t="s">
        <v>836</v>
      </c>
      <c r="M58" s="250" t="s">
        <v>825</v>
      </c>
    </row>
    <row r="59" spans="1:13" x14ac:dyDescent="0.2">
      <c r="K59" s="249">
        <v>8</v>
      </c>
      <c r="L59" s="250" t="s">
        <v>831</v>
      </c>
      <c r="M59" s="250" t="s">
        <v>821</v>
      </c>
    </row>
    <row r="60" spans="1:13" x14ac:dyDescent="0.2">
      <c r="K60" s="249"/>
      <c r="L60" s="251" t="s">
        <v>13</v>
      </c>
      <c r="M60" s="251"/>
    </row>
    <row r="61" spans="1:13" ht="56.25" x14ac:dyDescent="0.2">
      <c r="K61" s="249">
        <v>5</v>
      </c>
      <c r="L61" s="250" t="s">
        <v>858</v>
      </c>
      <c r="M61" s="250" t="s">
        <v>854</v>
      </c>
    </row>
    <row r="62" spans="1:13" ht="56.25" x14ac:dyDescent="0.2">
      <c r="K62" s="249">
        <v>6</v>
      </c>
      <c r="L62" s="250" t="s">
        <v>840</v>
      </c>
      <c r="M62" s="250" t="s">
        <v>838</v>
      </c>
    </row>
    <row r="63" spans="1:13" x14ac:dyDescent="0.2">
      <c r="K63" s="249">
        <v>7</v>
      </c>
      <c r="L63" s="250" t="s">
        <v>837</v>
      </c>
      <c r="M63" s="250" t="s">
        <v>828</v>
      </c>
    </row>
    <row r="64" spans="1:13" s="192" customFormat="1" x14ac:dyDescent="0.2">
      <c r="A64"/>
      <c r="B64"/>
      <c r="C64"/>
      <c r="D64"/>
      <c r="E64"/>
      <c r="F64"/>
      <c r="G64"/>
      <c r="H64"/>
      <c r="I64"/>
      <c r="K64" s="243"/>
      <c r="L64" s="243"/>
      <c r="M64" s="243"/>
    </row>
    <row r="73" spans="1:13" s="192" customFormat="1" x14ac:dyDescent="0.2">
      <c r="A73"/>
      <c r="B73"/>
      <c r="C73"/>
      <c r="D73"/>
      <c r="E73"/>
      <c r="F73"/>
      <c r="G73"/>
      <c r="H73"/>
      <c r="I73"/>
      <c r="K73" s="243"/>
      <c r="L73" s="243"/>
      <c r="M73" s="243"/>
    </row>
    <row r="74" spans="1:13" s="192" customFormat="1" x14ac:dyDescent="0.2">
      <c r="A74"/>
      <c r="B74"/>
      <c r="C74"/>
      <c r="D74"/>
      <c r="E74"/>
      <c r="F74"/>
      <c r="G74"/>
      <c r="H74"/>
      <c r="I74"/>
      <c r="K74" s="243"/>
      <c r="L74" s="243"/>
      <c r="M74" s="243"/>
    </row>
    <row r="77" spans="1:13" x14ac:dyDescent="0.2">
      <c r="A77" s="192"/>
      <c r="B77" s="192"/>
      <c r="C77" s="192"/>
      <c r="D77" s="192"/>
      <c r="E77" s="192"/>
      <c r="F77" s="192"/>
      <c r="G77" s="192"/>
      <c r="H77" s="192"/>
      <c r="I77" s="192"/>
    </row>
    <row r="88" spans="1:9" x14ac:dyDescent="0.2">
      <c r="A88" s="192"/>
      <c r="B88" s="192"/>
      <c r="C88" s="192"/>
      <c r="D88" s="192"/>
      <c r="E88" s="192"/>
      <c r="F88" s="192"/>
      <c r="G88" s="192"/>
      <c r="H88" s="192"/>
      <c r="I88" s="192"/>
    </row>
    <row r="97" spans="1:9" x14ac:dyDescent="0.2">
      <c r="A97" s="192"/>
      <c r="B97" s="192"/>
      <c r="C97" s="192"/>
      <c r="D97" s="192"/>
      <c r="E97" s="192"/>
      <c r="F97" s="192"/>
      <c r="G97" s="192"/>
      <c r="H97" s="192"/>
      <c r="I97" s="192"/>
    </row>
    <row r="98" spans="1:9" x14ac:dyDescent="0.2">
      <c r="A98" s="192"/>
      <c r="B98" s="192"/>
      <c r="C98" s="192"/>
      <c r="D98" s="192"/>
      <c r="E98" s="192"/>
      <c r="F98" s="192"/>
      <c r="G98" s="192"/>
      <c r="H98" s="192"/>
      <c r="I98" s="192"/>
    </row>
  </sheetData>
  <sheetProtection password="E9DA" sheet="1" objects="1" scenarios="1" selectLockedCells="1"/>
  <mergeCells count="35">
    <mergeCell ref="A3:I3"/>
    <mergeCell ref="A19:I19"/>
    <mergeCell ref="A39:C39"/>
    <mergeCell ref="A1:D1"/>
    <mergeCell ref="E1:G1"/>
    <mergeCell ref="H1:I2"/>
    <mergeCell ref="A2:G2"/>
    <mergeCell ref="A37:I37"/>
    <mergeCell ref="A5:G5"/>
    <mergeCell ref="A7:G7"/>
    <mergeCell ref="A9:G9"/>
    <mergeCell ref="A11:G11"/>
    <mergeCell ref="A13:G13"/>
    <mergeCell ref="A15:G15"/>
    <mergeCell ref="A21:G21"/>
    <mergeCell ref="A23:G23"/>
    <mergeCell ref="A17:G17"/>
    <mergeCell ref="G51:I51"/>
    <mergeCell ref="A41:C41"/>
    <mergeCell ref="A43:C43"/>
    <mergeCell ref="G47:H49"/>
    <mergeCell ref="D45:E45"/>
    <mergeCell ref="D47:E47"/>
    <mergeCell ref="B49:C49"/>
    <mergeCell ref="A47:C47"/>
    <mergeCell ref="B45:C45"/>
    <mergeCell ref="A25:G25"/>
    <mergeCell ref="A27:G27"/>
    <mergeCell ref="L50:M50"/>
    <mergeCell ref="L41:M41"/>
    <mergeCell ref="L37:M37"/>
    <mergeCell ref="A29:G29"/>
    <mergeCell ref="A35:G35"/>
    <mergeCell ref="A33:G33"/>
    <mergeCell ref="A31:G31"/>
  </mergeCells>
  <conditionalFormatting sqref="D45">
    <cfRule type="cellIs" dxfId="0" priority="1" stopIfTrue="1" operator="equal">
      <formula>"Erstzertifizierung"</formula>
    </cfRule>
  </conditionalFormatting>
  <dataValidations count="1">
    <dataValidation type="list" allowBlank="1" showInputMessage="1" showErrorMessage="1" sqref="D39 H31 H29 H33 D41 H35 D43 H7 H27 H9 H11 H13 H21 H23 H25 H15">
      <formula1>JaNein</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FF0000"/>
    <pageSetUpPr fitToPage="1"/>
  </sheetPr>
  <dimension ref="A1:L19"/>
  <sheetViews>
    <sheetView workbookViewId="0">
      <selection activeCell="C6" sqref="C6:D6"/>
    </sheetView>
  </sheetViews>
  <sheetFormatPr defaultColWidth="11.42578125" defaultRowHeight="12.75" x14ac:dyDescent="0.2"/>
  <cols>
    <col min="5" max="5" width="11.42578125" hidden="1" customWidth="1"/>
  </cols>
  <sheetData>
    <row r="1" spans="1:12" ht="24" customHeight="1" x14ac:dyDescent="0.25">
      <c r="A1" s="816" t="str">
        <f>Titel</f>
        <v>Audit programme Aero</v>
      </c>
      <c r="B1" s="547"/>
      <c r="C1" s="547"/>
      <c r="D1" s="547"/>
      <c r="E1" s="547"/>
      <c r="F1" s="817" t="str">
        <f>IF(Stammdaten!C5="","",Stammdaten!C5)</f>
        <v/>
      </c>
      <c r="G1" s="817"/>
      <c r="H1" s="818"/>
      <c r="I1" s="807"/>
      <c r="J1" s="808"/>
    </row>
    <row r="2" spans="1:12" ht="24" customHeight="1" x14ac:dyDescent="0.2">
      <c r="A2" s="811" t="str">
        <f>IF(Sprache = DE,"Upgrade auf Versionen 2016 ","Upgrade to 2016 version")</f>
        <v>Upgrade to 2016 version</v>
      </c>
      <c r="B2" s="765"/>
      <c r="C2" s="765"/>
      <c r="D2" s="765"/>
      <c r="E2" s="765"/>
      <c r="F2" s="765"/>
      <c r="G2" s="765"/>
      <c r="H2" s="766"/>
      <c r="I2" s="809"/>
      <c r="J2" s="810"/>
      <c r="L2" s="463"/>
    </row>
    <row r="3" spans="1:12" ht="6" customHeight="1" x14ac:dyDescent="0.2">
      <c r="A3" s="420"/>
      <c r="B3" s="420"/>
      <c r="C3" s="420"/>
      <c r="D3" s="420"/>
      <c r="E3" s="420"/>
      <c r="F3" s="420"/>
      <c r="G3" s="420"/>
      <c r="H3" s="421"/>
      <c r="I3" s="421"/>
      <c r="J3" s="422"/>
    </row>
    <row r="4" spans="1:12" ht="24" customHeight="1" x14ac:dyDescent="0.2">
      <c r="A4" s="440" t="str">
        <f>IF(Sprache=DE,"Upgrade-Aufwand","Effort for Upgrade")</f>
        <v>Effort for Upgrade</v>
      </c>
      <c r="B4" s="441"/>
      <c r="C4" s="441"/>
      <c r="D4" s="441"/>
      <c r="E4" s="441"/>
      <c r="F4" s="441"/>
      <c r="G4" s="441"/>
      <c r="H4" s="441"/>
      <c r="I4" s="441"/>
      <c r="J4" s="442"/>
    </row>
    <row r="5" spans="1:12" ht="6" customHeight="1" x14ac:dyDescent="0.2">
      <c r="A5" s="420"/>
      <c r="B5" s="420"/>
      <c r="C5" s="420"/>
      <c r="D5" s="420"/>
      <c r="E5" s="420"/>
      <c r="F5" s="420"/>
      <c r="G5" s="420"/>
      <c r="H5" s="421"/>
      <c r="I5" s="421"/>
      <c r="J5" s="422"/>
    </row>
    <row r="6" spans="1:12" s="192" customFormat="1" ht="24" customHeight="1" x14ac:dyDescent="0.2">
      <c r="A6" s="618" t="str">
        <f>IF(Sprache=DE,"Upgrade berücksichtigen","Consider Upgrade")&amp;": "</f>
        <v xml:space="preserve">Consider Upgrade: </v>
      </c>
      <c r="B6" s="624"/>
      <c r="C6" s="636" t="str">
        <f>IF(Init2016&gt;0,Nein,Ja)</f>
        <v>Yes</v>
      </c>
      <c r="D6" s="794"/>
      <c r="E6" s="819"/>
      <c r="F6" s="795" t="str">
        <f>IF(Sprache=DE,"Den Vorgaben der IAQG folgend, muss das Upgrade-Audit in dem ersten Audit stattfinden, das nach dem 15. Juni 2017 vor Ort abgeschlossen wird","Following requirements of IAQG upgrade shall be performed in first audit being completed on site after June 15th, 2017")</f>
        <v>Following requirements of IAQG upgrade shall be performed in first audit being completed on site after June 15th, 2017</v>
      </c>
      <c r="G6" s="796"/>
      <c r="H6" s="796"/>
      <c r="I6" s="796"/>
      <c r="J6" s="797"/>
    </row>
    <row r="7" spans="1:12" ht="24" customHeight="1" x14ac:dyDescent="0.2">
      <c r="A7" s="618" t="str">
        <f>IF(Sprache=DE,"Ablaufdatum AQMS-Zertifikat","Expiry date AQMS certificate")&amp;": "</f>
        <v xml:space="preserve">Expiry date AQMS certificate: </v>
      </c>
      <c r="B7" s="624"/>
      <c r="C7" s="814">
        <f>IF(ISNUMBER(Stammdaten!K85),IF(Stammdaten!K85&gt;=DATEVALUE("15.09.2018"),Stammdaten!K85,EDATE(Stammdaten!K85,36)),DATEVALUE("15.09.2018"))</f>
        <v>43358</v>
      </c>
      <c r="D7" s="815"/>
      <c r="E7" s="820"/>
      <c r="F7" s="798"/>
      <c r="G7" s="799"/>
      <c r="H7" s="799"/>
      <c r="I7" s="799"/>
      <c r="J7" s="800"/>
    </row>
    <row r="8" spans="1:12" ht="24" customHeight="1" x14ac:dyDescent="0.2">
      <c r="A8" s="618" t="str">
        <f>IF(Sprache=DE,"Auditrelevantes Datum","Audit relevant date")&amp;": "</f>
        <v xml:space="preserve">Audit relevant date: </v>
      </c>
      <c r="B8" s="624"/>
      <c r="C8" s="814">
        <f>IF(ISNUMBER(C7),EDATE(C7,-39)+1,"")</f>
        <v>42171</v>
      </c>
      <c r="D8" s="815"/>
      <c r="F8" s="798"/>
      <c r="G8" s="799"/>
      <c r="H8" s="799"/>
      <c r="I8" s="799"/>
      <c r="J8" s="800"/>
    </row>
    <row r="9" spans="1:12" s="192" customFormat="1" ht="24" customHeight="1" x14ac:dyDescent="0.2">
      <c r="A9" s="618" t="str">
        <f>IF(Sprache=DE,"Jahr für Upgrade","Year for upgrade")&amp;": "</f>
        <v xml:space="preserve">Year for upgrade: </v>
      </c>
      <c r="B9" s="624"/>
      <c r="C9" s="513">
        <f>IF(ISNUMBER(C8),IF(OR(AND(MONTH(C8)=6,DAY(C8)&gt;14),MONTH(C8)&gt;6),2017,2018),"")</f>
        <v>2017</v>
      </c>
      <c r="D9" s="806"/>
      <c r="E9" s="452">
        <f>C9</f>
        <v>2017</v>
      </c>
      <c r="F9" s="798"/>
      <c r="G9" s="799"/>
      <c r="H9" s="799"/>
      <c r="I9" s="799"/>
      <c r="J9" s="800"/>
    </row>
    <row r="10" spans="1:12" s="192" customFormat="1" ht="24" customHeight="1" x14ac:dyDescent="0.2">
      <c r="A10" s="618" t="str">
        <f>IF(Sprache=DE,"Geplanter: Auditabschluss","Planned last day of audit")&amp;": "</f>
        <v xml:space="preserve">Planned last day of audit: </v>
      </c>
      <c r="B10" s="624"/>
      <c r="C10" s="821">
        <f>IF(ISNUMBER(C8),DATE(C9,MONTH(C8),DAY(C8)),"")</f>
        <v>42902</v>
      </c>
      <c r="D10" s="822"/>
      <c r="E10" s="452">
        <f>IF(ISNUMBER(UpgradeJahr),MOD(UpgradeJahr-YEAR(C8),3),"")</f>
        <v>2</v>
      </c>
      <c r="F10" s="798"/>
      <c r="G10" s="799"/>
      <c r="H10" s="799"/>
      <c r="I10" s="799"/>
      <c r="J10" s="800"/>
    </row>
    <row r="11" spans="1:12" s="192" customFormat="1" ht="24" customHeight="1" x14ac:dyDescent="0.2">
      <c r="A11" s="618" t="str">
        <f>IF(Sprache=DE,"Struktur","Structure")&amp;": "</f>
        <v xml:space="preserve">Structure: </v>
      </c>
      <c r="B11" s="624"/>
      <c r="C11" s="804" t="str">
        <f>Struktur</f>
        <v/>
      </c>
      <c r="D11" s="805"/>
      <c r="E11" s="451"/>
      <c r="F11" s="798"/>
      <c r="G11" s="799"/>
      <c r="H11" s="799"/>
      <c r="I11" s="799"/>
      <c r="J11" s="800"/>
    </row>
    <row r="12" spans="1:12" s="192" customFormat="1" ht="24" customHeight="1" x14ac:dyDescent="0.2">
      <c r="A12" s="618" t="str">
        <f>IF(Sprache=DE,"Audit für Upgrade","Audit for Upgrade")&amp;":"</f>
        <v>Audit for Upgrade:</v>
      </c>
      <c r="B12" s="624"/>
      <c r="C12" s="812" t="str">
        <f>IF(ConsiderUpgrade=Ja,IF(ISNUMBER(E10),VLOOKUP(E10,Auditauswahl,2,FALSE),""),"n/a")</f>
        <v>2. Surveillance</v>
      </c>
      <c r="D12" s="813"/>
      <c r="E12" s="104" t="str">
        <f>"J"&amp;(E10+1)&amp;"Basis"</f>
        <v>J3Basis</v>
      </c>
      <c r="F12" s="798"/>
      <c r="G12" s="799"/>
      <c r="H12" s="799"/>
      <c r="I12" s="799"/>
      <c r="J12" s="800"/>
    </row>
    <row r="13" spans="1:12" s="192" customFormat="1" ht="24" hidden="1" customHeight="1" x14ac:dyDescent="0.2">
      <c r="A13" s="618" t="str">
        <f>IF(Sprache=DE,"Anzahl Standorte im Audit","Number of sites in audit")&amp;":"</f>
        <v>Number of sites in audit:</v>
      </c>
      <c r="B13" s="618"/>
      <c r="C13" s="624"/>
      <c r="D13" s="456" t="str">
        <f ca="1">IF(Struktur="","",IF(Struktur=SingleSite,1,IF(Struktur=MultipleSite,INDIRECT("MuS"&amp;E10+1&amp;"nS"),INDIRECT("Msnsite"&amp;E10+1))))</f>
        <v/>
      </c>
      <c r="E13" s="104"/>
      <c r="F13" s="798"/>
      <c r="G13" s="799"/>
      <c r="H13" s="799"/>
      <c r="I13" s="799"/>
      <c r="J13" s="800"/>
    </row>
    <row r="14" spans="1:12" ht="24" hidden="1" customHeight="1" x14ac:dyDescent="0.2">
      <c r="A14" s="792" t="str">
        <f>IF(Sprache=DE,"Zusatzaufwand vor Ort","Additional duration on site")&amp;":"</f>
        <v>Additional duration on site:</v>
      </c>
      <c r="B14" s="792"/>
      <c r="C14" s="793"/>
      <c r="D14" s="449">
        <f>IF(OR(ConsiderUpgrade&lt;&gt;Ja,NOT(ISNUMBER(C7))),0,IF(AND(ISNUMBER(E10),E10=0),10%,20%))</f>
        <v>0.2</v>
      </c>
      <c r="E14" s="453"/>
      <c r="F14" s="798"/>
      <c r="G14" s="799"/>
      <c r="H14" s="799"/>
      <c r="I14" s="799"/>
      <c r="J14" s="800"/>
    </row>
    <row r="15" spans="1:12" ht="24" hidden="1" customHeight="1" x14ac:dyDescent="0.2">
      <c r="A15" s="618" t="str">
        <f>IF(Sprache=DE,"Zusatzzeit (roh)/Tage","Additional time (raw)/days")&amp;":"</f>
        <v>Additional time (raw)/days:</v>
      </c>
      <c r="B15" s="618"/>
      <c r="C15" s="624"/>
      <c r="D15" s="443" t="e">
        <f ca="1">IF(OR(ConsiderUpgrade&lt;&gt;Ja,NOT(ISNUMBER(ExpiryDate))),0,D14*INDIRECT(E12))</f>
        <v>#REF!</v>
      </c>
      <c r="E15" s="446"/>
      <c r="F15" s="798"/>
      <c r="G15" s="799"/>
      <c r="H15" s="799"/>
      <c r="I15" s="799"/>
      <c r="J15" s="800"/>
    </row>
    <row r="16" spans="1:12" ht="24" hidden="1" customHeight="1" x14ac:dyDescent="0.2">
      <c r="A16" s="792" t="str">
        <f>IF(Sprache=DE,"Zusatzzeit (aufgerundet auf Halbtag)","Additional time (rounded up to next half day)")&amp;":"</f>
        <v>Additional time (rounded up to next half day):</v>
      </c>
      <c r="B16" s="792"/>
      <c r="C16" s="793"/>
      <c r="D16" s="450" t="e">
        <f ca="1">IF(D15=0,0,MAX(0.5,ROUNDUP(2*D15,0)/2,0.5*UpgradenS))</f>
        <v>#REF!</v>
      </c>
      <c r="E16" s="444"/>
      <c r="F16" s="801"/>
      <c r="G16" s="802"/>
      <c r="H16" s="802"/>
      <c r="I16" s="802"/>
      <c r="J16" s="803"/>
    </row>
    <row r="17" spans="1:10" s="192" customFormat="1" ht="24" hidden="1" customHeight="1" x14ac:dyDescent="0.2">
      <c r="A17" s="737" t="str">
        <f>IF(Sprache=DE,"Begründung für Reduktion","Justification for reduction")&amp;":"</f>
        <v>Justification for reduction:</v>
      </c>
      <c r="B17" s="737"/>
      <c r="C17" s="738"/>
      <c r="D17" s="789" t="e">
        <f ca="1">IF(UpgradeZusatz&gt;=D15,NIL,IF(Sprache=DE,"Begründung erforderlich","Justification required"))</f>
        <v>#REF!</v>
      </c>
      <c r="E17" s="790"/>
      <c r="F17" s="790"/>
      <c r="G17" s="790"/>
      <c r="H17" s="790"/>
      <c r="I17" s="790"/>
      <c r="J17" s="791"/>
    </row>
    <row r="18" spans="1:10" ht="6" customHeight="1" x14ac:dyDescent="0.2">
      <c r="A18" s="421"/>
      <c r="B18" s="421"/>
      <c r="C18" s="421"/>
      <c r="D18" s="421"/>
      <c r="E18" s="421"/>
      <c r="F18" s="421"/>
      <c r="G18" s="421"/>
      <c r="H18" s="447"/>
      <c r="I18" s="421"/>
      <c r="J18" s="448"/>
    </row>
    <row r="19" spans="1:10" ht="24" customHeight="1" x14ac:dyDescent="0.2">
      <c r="A19" s="114" t="str">
        <f>Ausfüllanleitung</f>
        <v>Please fill coloured cells - as relevant</v>
      </c>
      <c r="B19" s="155"/>
      <c r="C19" s="155"/>
      <c r="D19" s="155"/>
      <c r="E19" s="155"/>
      <c r="F19" s="155"/>
      <c r="G19" s="155"/>
      <c r="H19" s="158"/>
      <c r="I19" s="158"/>
      <c r="J19" s="187" t="str">
        <f>Formblatt&amp;"/ "&amp;FormblattRev</f>
        <v>A19F100/ 02/08.17</v>
      </c>
    </row>
  </sheetData>
  <sheetProtection password="E9DA" sheet="1" objects="1" scenarios="1" selectLockedCells="1"/>
  <mergeCells count="26">
    <mergeCell ref="I1:J2"/>
    <mergeCell ref="A2:H2"/>
    <mergeCell ref="A7:B7"/>
    <mergeCell ref="A8:B8"/>
    <mergeCell ref="A14:C14"/>
    <mergeCell ref="C12:D12"/>
    <mergeCell ref="C8:D8"/>
    <mergeCell ref="A1:E1"/>
    <mergeCell ref="F1:H1"/>
    <mergeCell ref="E6:E7"/>
    <mergeCell ref="C7:D7"/>
    <mergeCell ref="A10:B10"/>
    <mergeCell ref="C10:D10"/>
    <mergeCell ref="A13:C13"/>
    <mergeCell ref="D17:J17"/>
    <mergeCell ref="A17:C17"/>
    <mergeCell ref="A15:C15"/>
    <mergeCell ref="A16:C16"/>
    <mergeCell ref="A6:B6"/>
    <mergeCell ref="C6:D6"/>
    <mergeCell ref="F6:J16"/>
    <mergeCell ref="A12:B12"/>
    <mergeCell ref="A11:B11"/>
    <mergeCell ref="C11:D11"/>
    <mergeCell ref="A9:B9"/>
    <mergeCell ref="C9:D9"/>
  </mergeCells>
  <dataValidations count="5">
    <dataValidation type="custom" allowBlank="1" showInputMessage="1" showErrorMessage="1" sqref="D16">
      <formula1>OR(AND(ConsiderUpgrade=Nein,D16=0),ROUND(2*D16,0)/2=D16)</formula1>
    </dataValidation>
    <dataValidation type="list" allowBlank="1" showInputMessage="1" showErrorMessage="1" sqref="C6:D6">
      <formula1>JaNein</formula1>
    </dataValidation>
    <dataValidation operator="greaterThanOrEqual" allowBlank="1" showInputMessage="1" showErrorMessage="1" sqref="C8:D8"/>
    <dataValidation type="date" operator="greaterThanOrEqual" allowBlank="1" showInputMessage="1" showErrorMessage="1" sqref="C7:D7">
      <formula1>38718</formula1>
    </dataValidation>
    <dataValidation type="date" operator="greaterThanOrEqual" allowBlank="1" showInputMessage="1" showErrorMessage="1" sqref="C10:D10">
      <formula1>42795</formula1>
    </dataValidation>
  </dataValidations>
  <pageMargins left="0.70866141732283472" right="0.70866141732283472" top="0.78740157480314965" bottom="0.78740157480314965" header="0.31496062992125984" footer="0.31496062992125984"/>
  <pageSetup paperSize="9" scale="8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5" tint="0.59999389629810485"/>
  </sheetPr>
  <dimension ref="A1:H29"/>
  <sheetViews>
    <sheetView workbookViewId="0">
      <selection activeCell="C7" sqref="C7"/>
    </sheetView>
  </sheetViews>
  <sheetFormatPr defaultColWidth="11.42578125" defaultRowHeight="12.75" x14ac:dyDescent="0.2"/>
  <cols>
    <col min="1" max="3" width="16.28515625" customWidth="1"/>
    <col min="4" max="4" width="7.7109375" customWidth="1"/>
    <col min="5" max="5" width="16.28515625" customWidth="1"/>
    <col min="6" max="6" width="7.7109375" customWidth="1"/>
    <col min="7" max="7" width="16.28515625" customWidth="1"/>
    <col min="8" max="8" width="7.7109375" customWidth="1"/>
  </cols>
  <sheetData>
    <row r="1" spans="1:8" s="192" customFormat="1" ht="24" customHeight="1" x14ac:dyDescent="0.25">
      <c r="A1" s="469" t="str">
        <f>Titel</f>
        <v>Audit programme Aero</v>
      </c>
      <c r="B1" s="470"/>
      <c r="C1" s="470"/>
      <c r="D1" s="823" t="str">
        <f>IF(Firma="","",Firma)</f>
        <v/>
      </c>
      <c r="E1" s="823"/>
      <c r="F1" s="824"/>
      <c r="G1" s="807"/>
      <c r="H1" s="808"/>
    </row>
    <row r="2" spans="1:8" s="192" customFormat="1" ht="24" customHeight="1" x14ac:dyDescent="0.2">
      <c r="A2" s="825" t="s">
        <v>1364</v>
      </c>
      <c r="B2" s="826"/>
      <c r="C2" s="826"/>
      <c r="D2" s="826"/>
      <c r="E2" s="826"/>
      <c r="F2" s="827"/>
      <c r="G2" s="809"/>
      <c r="H2" s="810"/>
    </row>
    <row r="3" spans="1:8" s="192" customFormat="1" ht="6" customHeight="1" x14ac:dyDescent="0.2">
      <c r="A3" s="420"/>
      <c r="B3" s="420"/>
      <c r="C3" s="420"/>
      <c r="D3" s="420"/>
      <c r="E3" s="420"/>
      <c r="F3" s="420"/>
      <c r="G3" s="420"/>
      <c r="H3" s="420"/>
    </row>
    <row r="4" spans="1:8" s="192" customFormat="1" ht="24" customHeight="1" x14ac:dyDescent="0.2">
      <c r="A4" s="465" t="str">
        <f>IF(Sprache=DE,"Ermittlung zustätzlicher Auditdauer","Cacluclation for additional audit duration")</f>
        <v>Cacluclation for additional audit duration</v>
      </c>
      <c r="B4" s="466"/>
      <c r="C4" s="466"/>
      <c r="D4" s="466"/>
      <c r="E4" s="466"/>
      <c r="F4" s="466"/>
      <c r="G4" s="466"/>
      <c r="H4" s="467"/>
    </row>
    <row r="5" spans="1:8" s="192" customFormat="1" ht="6" customHeight="1" x14ac:dyDescent="0.2">
      <c r="A5" s="471"/>
      <c r="B5" s="420"/>
      <c r="C5" s="420"/>
      <c r="D5" s="420"/>
      <c r="E5" s="420"/>
      <c r="F5" s="420"/>
      <c r="G5" s="420"/>
      <c r="H5" s="472"/>
    </row>
    <row r="6" spans="1:8" s="62" customFormat="1" ht="24" customHeight="1" x14ac:dyDescent="0.2">
      <c r="A6" s="617" t="str">
        <f>IF(Sprache=DE,"Jahr","Year")&amp;":"</f>
        <v>Year:</v>
      </c>
      <c r="B6" s="618"/>
      <c r="C6" s="473">
        <f>J_1</f>
        <v>2017</v>
      </c>
      <c r="D6" s="474">
        <v>10</v>
      </c>
      <c r="E6" s="473">
        <f>J_2</f>
        <v>2018</v>
      </c>
      <c r="F6" s="474">
        <f>D6</f>
        <v>10</v>
      </c>
      <c r="G6" s="473">
        <f>J_3</f>
        <v>2019</v>
      </c>
      <c r="H6" s="474">
        <f>F6</f>
        <v>10</v>
      </c>
    </row>
    <row r="7" spans="1:8" s="62" customFormat="1" ht="24" customHeight="1" x14ac:dyDescent="0.2">
      <c r="A7" s="617" t="str">
        <f>Stammdaten!A41</f>
        <v xml:space="preserve">Design Organisation: Part 21 J: </v>
      </c>
      <c r="B7" s="618"/>
      <c r="C7" s="490" t="s">
        <v>1268</v>
      </c>
      <c r="D7" s="476">
        <f>IF(C7=Nein,0,D$6)</f>
        <v>10</v>
      </c>
      <c r="E7" s="490" t="str">
        <f>C7</f>
        <v>Ja</v>
      </c>
      <c r="F7" s="476">
        <f>IF(E7=Nein,0,F$6)</f>
        <v>10</v>
      </c>
      <c r="G7" s="490" t="str">
        <f>E7</f>
        <v>Ja</v>
      </c>
      <c r="H7" s="476">
        <f>IF(G7=Nein,0,H$6)</f>
        <v>10</v>
      </c>
    </row>
    <row r="8" spans="1:8" s="62" customFormat="1" ht="24" customHeight="1" x14ac:dyDescent="0.2">
      <c r="A8" s="617" t="str">
        <f>Stammdaten!E41</f>
        <v xml:space="preserve">Production Organisation: Part 21 G: </v>
      </c>
      <c r="B8" s="618"/>
      <c r="C8" s="490" t="str">
        <f>Part21G</f>
        <v>No</v>
      </c>
      <c r="D8" s="476">
        <f>IF(C8=Nein,0,D$6)</f>
        <v>0</v>
      </c>
      <c r="E8" s="490" t="str">
        <f>C8</f>
        <v>No</v>
      </c>
      <c r="F8" s="476">
        <f>IF(E8=Nein,0,F$6)</f>
        <v>0</v>
      </c>
      <c r="G8" s="490" t="str">
        <f>E8</f>
        <v>No</v>
      </c>
      <c r="H8" s="476">
        <f>IF(G8=Nein,0,H$6)</f>
        <v>0</v>
      </c>
    </row>
    <row r="9" spans="1:8" s="62" customFormat="1" ht="24" customHeight="1" x14ac:dyDescent="0.2">
      <c r="A9" s="617" t="str">
        <f>Stammdaten!I41</f>
        <v xml:space="preserve">Maintenance Organisation:Part 145: </v>
      </c>
      <c r="B9" s="618"/>
      <c r="C9" s="490" t="str">
        <f>Part145</f>
        <v>No</v>
      </c>
      <c r="D9" s="476">
        <f>IF(C9=Nein,0,D$6)</f>
        <v>0</v>
      </c>
      <c r="E9" s="490" t="str">
        <f>C9</f>
        <v>No</v>
      </c>
      <c r="F9" s="476">
        <f>IF(E9=Nein,0,F$6)</f>
        <v>0</v>
      </c>
      <c r="G9" s="490" t="str">
        <f>E9</f>
        <v>No</v>
      </c>
      <c r="H9" s="476">
        <f>IF(G9=Nein,0,H$6)</f>
        <v>0</v>
      </c>
    </row>
    <row r="10" spans="1:8" s="62" customFormat="1" ht="24" customHeight="1" x14ac:dyDescent="0.2">
      <c r="A10" s="617" t="str">
        <f>Stammdaten!D51</f>
        <v>Complexity of QMS:</v>
      </c>
      <c r="B10" s="618"/>
      <c r="C10" s="490" t="str">
        <f>IF(COUNTIF(C7:C9,Ja)&gt;1,High,IF(COUNTIF(C7:C9,Ja)&gt;0,Medium,Komplexität1))</f>
        <v>Low</v>
      </c>
      <c r="D10" s="476">
        <f>IF(C10=Low,0,IF(C10=High,2*D$6,D$6))</f>
        <v>0</v>
      </c>
      <c r="E10" s="492" t="str">
        <f>IF(COUNTIF(E7:E9,Ja)&gt;1,High,IF(COUNTIF(E7:E9,Ja)&gt;0,Medium,Komplexität2))</f>
        <v>Low</v>
      </c>
      <c r="F10" s="476">
        <f>IF(E10=Low,0,IF(E10=High,2*F$6,F$6))</f>
        <v>0</v>
      </c>
      <c r="G10" s="492" t="str">
        <f>IF(COUNTIF(G7:G9,Ja)&gt;1,High,IF(COUNTIF(G7:G9,Ja)&gt;0,Medium,Komplexität3))</f>
        <v>Low</v>
      </c>
      <c r="H10" s="476">
        <f>IF(G10=Low,0,IF(G10=High,2*H$6,H$6))</f>
        <v>0</v>
      </c>
    </row>
    <row r="11" spans="1:8" s="62" customFormat="1" ht="24" customHeight="1" x14ac:dyDescent="0.2">
      <c r="A11" s="617" t="str">
        <f>Stammdaten!F51</f>
        <v>Variety Activities:</v>
      </c>
      <c r="B11" s="618"/>
      <c r="C11" s="490" t="str">
        <f>Variety1</f>
        <v>Few</v>
      </c>
      <c r="D11" s="476">
        <f>IF(C11=Wenige,0,D$6)</f>
        <v>0</v>
      </c>
      <c r="E11" s="490" t="str">
        <f>C11</f>
        <v>Few</v>
      </c>
      <c r="F11" s="476">
        <f>IF(E11=Wenige,0,F$6)</f>
        <v>0</v>
      </c>
      <c r="G11" s="490" t="str">
        <f>E11</f>
        <v>Few</v>
      </c>
      <c r="H11" s="476">
        <f>IF(G11=Wenige,0,H$6)</f>
        <v>0</v>
      </c>
    </row>
    <row r="12" spans="1:8" s="62" customFormat="1" ht="24" customHeight="1" x14ac:dyDescent="0.2">
      <c r="A12" s="617" t="str">
        <f>Stammdaten!G51</f>
        <v>Number Activities:</v>
      </c>
      <c r="B12" s="618"/>
      <c r="C12" s="490" t="str">
        <f>Number1</f>
        <v>Few</v>
      </c>
      <c r="D12" s="476">
        <f>IF(C12=Wenige,0,D$6)</f>
        <v>0</v>
      </c>
      <c r="E12" s="490" t="str">
        <f>C12</f>
        <v>Few</v>
      </c>
      <c r="F12" s="476">
        <f>IF(E12=Wenige,0,F$6)</f>
        <v>0</v>
      </c>
      <c r="G12" s="490" t="str">
        <f>E12</f>
        <v>Few</v>
      </c>
      <c r="H12" s="476">
        <f>IF(G12=Wenige,0,H$6)</f>
        <v>0</v>
      </c>
    </row>
    <row r="13" spans="1:8" s="62" customFormat="1" ht="24" customHeight="1" x14ac:dyDescent="0.2">
      <c r="A13" s="617" t="str">
        <f>Stammdaten!J51</f>
        <v>Support by Translator:</v>
      </c>
      <c r="B13" s="618"/>
      <c r="C13" s="490" t="str">
        <f>Translator1</f>
        <v>No</v>
      </c>
      <c r="D13" s="476">
        <f>IF(C13=Ja,2*D$6,0)</f>
        <v>0</v>
      </c>
      <c r="E13" s="490" t="str">
        <f>C13</f>
        <v>No</v>
      </c>
      <c r="F13" s="476">
        <f>IF(E13=Ja,2*F$6,0)</f>
        <v>0</v>
      </c>
      <c r="G13" s="490" t="str">
        <f>E13</f>
        <v>No</v>
      </c>
      <c r="H13" s="476">
        <f>IF(G13=Ja,2*H$6,0)</f>
        <v>0</v>
      </c>
    </row>
    <row r="14" spans="1:8" s="62" customFormat="1" ht="24" customHeight="1" x14ac:dyDescent="0.2">
      <c r="A14" s="617" t="str">
        <f>IF(Sprache=DE,"Erweiterung des Geltungsbereichs","Extension of scope")&amp;":"</f>
        <v>Extension of scope:</v>
      </c>
      <c r="B14" s="618"/>
      <c r="C14" s="490" t="str">
        <f>Nein</f>
        <v>No</v>
      </c>
      <c r="D14" s="476">
        <f>IF(C14=Ja,2*D$6,0)</f>
        <v>0</v>
      </c>
      <c r="E14" s="490" t="str">
        <f>Nein</f>
        <v>No</v>
      </c>
      <c r="F14" s="476">
        <f>IF(E14=Ja,2*F$6,0)</f>
        <v>0</v>
      </c>
      <c r="G14" s="490" t="str">
        <f>Nein</f>
        <v>No</v>
      </c>
      <c r="H14" s="476">
        <f>IF(G14=Ja,2*H$6,0)</f>
        <v>0</v>
      </c>
    </row>
    <row r="15" spans="1:8" s="62" customFormat="1" ht="24" customHeight="1" x14ac:dyDescent="0.2">
      <c r="A15" s="617" t="str">
        <f>IF(Sprache=DE,"Verlagerung Standort(e)","Relocation of site(s)")&amp;":"</f>
        <v>Relocation of site(s):</v>
      </c>
      <c r="B15" s="618"/>
      <c r="C15" s="490" t="str">
        <f>Nein</f>
        <v>No</v>
      </c>
      <c r="D15" s="476">
        <f>IF(C15=Ja,2*D$6,0)</f>
        <v>0</v>
      </c>
      <c r="E15" s="498" t="str">
        <f>Nein</f>
        <v>No</v>
      </c>
      <c r="F15" s="476">
        <f>IF(E15=Ja,2*F$6,0)</f>
        <v>0</v>
      </c>
      <c r="G15" s="498" t="str">
        <f>Nein</f>
        <v>No</v>
      </c>
      <c r="H15" s="476">
        <f>IF(G15=Ja,2*H$6,0)</f>
        <v>0</v>
      </c>
    </row>
    <row r="16" spans="1:8" s="62" customFormat="1" ht="24" customHeight="1" x14ac:dyDescent="0.2">
      <c r="A16" s="598" t="str">
        <f>IF(Sprache=DE,"'Ein-Prozess'-Organisation","'One-Process'-Organization")&amp;":"</f>
        <v>'One-Process'-Organization:</v>
      </c>
      <c r="B16" s="832"/>
      <c r="C16" s="497" t="str">
        <f>n_z</f>
        <v>n.a.</v>
      </c>
      <c r="D16" s="487">
        <v>0</v>
      </c>
      <c r="E16" s="436" t="str">
        <f>Nein</f>
        <v>No</v>
      </c>
      <c r="F16" s="487">
        <f>IF(E16=Ja,2*F$6,0)</f>
        <v>0</v>
      </c>
      <c r="G16" s="436" t="str">
        <f>E16</f>
        <v>No</v>
      </c>
      <c r="H16" s="487">
        <f>IF(G16=Ja,2*H$6,0)</f>
        <v>0</v>
      </c>
    </row>
    <row r="17" spans="1:8" s="62" customFormat="1" ht="24" customHeight="1" x14ac:dyDescent="0.2">
      <c r="A17" s="833" t="str">
        <f>A16&amp;IF(Sprache=DE," Die Organisation hat alle ihre Tätigkeiten gemeinsam in einer einzigen großen Prozessbeschreibung definiert.","Organization has defined all the activities in one single common process description.")</f>
        <v>'One-Process'-Organization:Organization has defined all the activities in one single common process description.</v>
      </c>
      <c r="B17" s="833"/>
      <c r="C17" s="833"/>
      <c r="D17" s="833"/>
      <c r="E17" s="833"/>
      <c r="F17" s="833"/>
      <c r="G17" s="833"/>
      <c r="H17" s="833"/>
    </row>
    <row r="18" spans="1:8" s="62" customFormat="1" ht="24" customHeight="1" x14ac:dyDescent="0.2">
      <c r="A18" s="493">
        <v>15</v>
      </c>
      <c r="B18" s="477">
        <f>MaxAdd/SQRT(Wichtung*D6)</f>
        <v>2.4494897427831782E-2</v>
      </c>
      <c r="C18" s="494">
        <f>SQRT(D18)*$B$18</f>
        <v>7.7459666924148352E-2</v>
      </c>
      <c r="D18" s="495">
        <f>SUM(D7:D16)</f>
        <v>10</v>
      </c>
      <c r="E18" s="494">
        <f>SQRT(F18)*$B$18</f>
        <v>7.7459666924148352E-2</v>
      </c>
      <c r="F18" s="495">
        <f>SUM(F7:F16)</f>
        <v>10</v>
      </c>
      <c r="G18" s="494">
        <f>SQRT(H18)*$B$18</f>
        <v>7.7459666924148352E-2</v>
      </c>
      <c r="H18" s="495">
        <f>SUM(H7:H16)</f>
        <v>10</v>
      </c>
    </row>
    <row r="19" spans="1:8" s="62" customFormat="1" ht="24" customHeight="1" x14ac:dyDescent="0.2">
      <c r="A19" s="830" t="str">
        <f>IF(Sprache=DE,"Ermittelter Zuschlag (Tage)","Calculated Addition (days)")&amp;":"</f>
        <v>Calculated Addition (days):</v>
      </c>
      <c r="B19" s="737"/>
      <c r="C19" s="478" t="e">
        <f>IF(AuditJ1&lt;&gt;Ja,0,J1Basis)</f>
        <v>#NAME?</v>
      </c>
      <c r="D19" s="479" t="e">
        <f>ROUNDUP(2*C19*C18,0)/2</f>
        <v>#NAME?</v>
      </c>
      <c r="E19" s="478" t="e">
        <f>IF(AuditJ2&lt;&gt;Ja,0,J2Basis)</f>
        <v>#NAME?</v>
      </c>
      <c r="F19" s="479" t="e">
        <f>ROUNDUP(2*E19*E18,0)/2</f>
        <v>#NAME?</v>
      </c>
      <c r="G19" s="478" t="e">
        <f>IF(AuditJ3&lt;&gt;Ja,0,J3Basis)</f>
        <v>#NAME?</v>
      </c>
      <c r="H19" s="479" t="e">
        <f>ROUNDUP(2*G19*G18,0)/2</f>
        <v>#NAME?</v>
      </c>
    </row>
    <row r="20" spans="1:8" s="62" customFormat="1" ht="24" customHeight="1" x14ac:dyDescent="0.2">
      <c r="A20" s="480">
        <v>0.3</v>
      </c>
      <c r="B20" s="468" t="str">
        <f>IF(Sprache=DE,"Begrenzung auf","Limitation to")&amp;":"</f>
        <v>Limitation to:</v>
      </c>
      <c r="C20" s="481"/>
      <c r="D20" s="482" t="e">
        <f>D19</f>
        <v>#NAME?</v>
      </c>
      <c r="E20" s="481"/>
      <c r="F20" s="482" t="e">
        <f>F19</f>
        <v>#NAME?</v>
      </c>
      <c r="G20" s="481"/>
      <c r="H20" s="482" t="e">
        <f>H19</f>
        <v>#NAME?</v>
      </c>
    </row>
    <row r="21" spans="1:8" s="62" customFormat="1" ht="24" customHeight="1" x14ac:dyDescent="0.2">
      <c r="A21" s="496"/>
      <c r="B21" s="491" t="str">
        <f>IF(Sprache=DE,"Begründung für Begrenzung","Justification for limitation")&amp;":"</f>
        <v>Justification for limitation:</v>
      </c>
      <c r="C21" s="834"/>
      <c r="D21" s="835"/>
      <c r="E21" s="835"/>
      <c r="F21" s="835"/>
      <c r="G21" s="835"/>
      <c r="H21" s="836"/>
    </row>
    <row r="22" spans="1:8" s="62" customFormat="1" ht="24" customHeight="1" x14ac:dyDescent="0.2">
      <c r="A22" s="828" t="str">
        <f>IF(Sprache=DE,"Angewendeter Zuschlag (Tage)","Applied Addition (days)")&amp;":"</f>
        <v>Applied Addition (days):</v>
      </c>
      <c r="B22" s="829"/>
      <c r="C22" s="489" t="e">
        <f>IF(D19=0,0,ROUNDDOWN(D22/C19,2))</f>
        <v>#NAME?</v>
      </c>
      <c r="D22" s="483" t="e">
        <f>MIN(D19,D20)</f>
        <v>#NAME?</v>
      </c>
      <c r="E22" s="489" t="e">
        <f>IF(F19=0,0,ROUNDDOWN(F22/E19,2))</f>
        <v>#NAME?</v>
      </c>
      <c r="F22" s="483" t="e">
        <f>MIN(F19,F20)</f>
        <v>#NAME?</v>
      </c>
      <c r="G22" s="489" t="e">
        <f>IF(H19=0,0,ROUNDDOWN(H22/G19,2))</f>
        <v>#NAME?</v>
      </c>
      <c r="H22" s="483" t="e">
        <f>MIN(H19,H20)</f>
        <v>#NAME?</v>
      </c>
    </row>
    <row r="23" spans="1:8" s="192" customFormat="1" ht="6" customHeight="1" x14ac:dyDescent="0.2">
      <c r="A23" s="428"/>
      <c r="B23" s="421"/>
      <c r="C23" s="421"/>
      <c r="D23" s="421"/>
      <c r="E23" s="421"/>
      <c r="F23" s="421"/>
      <c r="G23" s="421"/>
      <c r="H23" s="422"/>
    </row>
    <row r="24" spans="1:8" s="62" customFormat="1" ht="24" customHeight="1" x14ac:dyDescent="0.2">
      <c r="A24" s="831" t="str">
        <f>Stammdaten!H51</f>
        <v>Verification Corrective Actions:</v>
      </c>
      <c r="B24" s="792"/>
      <c r="C24" s="473">
        <f>J_1</f>
        <v>2017</v>
      </c>
      <c r="D24" s="476"/>
      <c r="E24" s="473">
        <f>J_2</f>
        <v>2018</v>
      </c>
      <c r="F24" s="476"/>
      <c r="G24" s="473">
        <f>J_3</f>
        <v>2019</v>
      </c>
      <c r="H24" s="476"/>
    </row>
    <row r="25" spans="1:8" s="62" customFormat="1" ht="24" customHeight="1" x14ac:dyDescent="0.2">
      <c r="A25" s="617" t="str">
        <f>A24</f>
        <v>Verification Corrective Actions:</v>
      </c>
      <c r="B25" s="618"/>
      <c r="C25" s="475" t="str">
        <f>Nein</f>
        <v>No</v>
      </c>
      <c r="D25" s="484"/>
      <c r="E25" s="475" t="str">
        <f>C25</f>
        <v>No</v>
      </c>
      <c r="F25" s="484"/>
      <c r="G25" s="475" t="str">
        <f>E25</f>
        <v>No</v>
      </c>
      <c r="H25" s="484"/>
    </row>
    <row r="26" spans="1:8" s="62" customFormat="1" ht="24" customHeight="1" x14ac:dyDescent="0.2">
      <c r="A26" s="617" t="str">
        <f>IF(Sprache=DE,"Dauer der Verifizierung (h)","Duration of verification (h)")&amp;":"</f>
        <v>Duration of verification (h):</v>
      </c>
      <c r="B26" s="618"/>
      <c r="C26" s="485">
        <v>0</v>
      </c>
      <c r="D26" s="486"/>
      <c r="E26" s="485">
        <f>IF(E25=Nein,0,1)</f>
        <v>0</v>
      </c>
      <c r="F26" s="486"/>
      <c r="G26" s="485">
        <f>IF(G25=Nein,0,1)</f>
        <v>0</v>
      </c>
      <c r="H26" s="487"/>
    </row>
    <row r="27" spans="1:8" s="62" customFormat="1" ht="24" customHeight="1" x14ac:dyDescent="0.2">
      <c r="A27" s="828" t="str">
        <f>IF(Sprache=DE,"Angewendeter Zuschlag (h)","Applied Addition (h)")&amp;":"</f>
        <v>Applied Addition (h):</v>
      </c>
      <c r="B27" s="829"/>
      <c r="C27" s="106"/>
      <c r="D27" s="483">
        <f>IF(C25=Nein,0,IF(C26&gt;4,ROUND(C26/4,0)*4,IF(C26=3,4,C26)))</f>
        <v>0</v>
      </c>
      <c r="E27" s="106"/>
      <c r="F27" s="483">
        <f>IF(E25=Nein,0,IF(E26&gt;4,ROUND(E26/4,0)*4,IF(E26=3,4,E26)))</f>
        <v>0</v>
      </c>
      <c r="G27" s="106"/>
      <c r="H27" s="483">
        <f>IF(G25=Nein,0,IF(G26&gt;4,ROUND(G26/4,0)*4,IF(G26=3,4,G26)))</f>
        <v>0</v>
      </c>
    </row>
    <row r="28" spans="1:8" s="192" customFormat="1" ht="6" customHeight="1" x14ac:dyDescent="0.2">
      <c r="A28" s="428"/>
      <c r="B28" s="421"/>
      <c r="C28" s="421"/>
      <c r="D28" s="421"/>
      <c r="E28" s="421"/>
      <c r="F28" s="421"/>
      <c r="G28" s="421"/>
      <c r="H28" s="422"/>
    </row>
    <row r="29" spans="1:8" s="192" customFormat="1" ht="24" customHeight="1" x14ac:dyDescent="0.2">
      <c r="A29" s="424" t="str">
        <f>Ausfüllanleitung</f>
        <v>Please fill coloured cells - as relevant</v>
      </c>
      <c r="B29" s="425"/>
      <c r="C29" s="425"/>
      <c r="D29" s="425"/>
      <c r="E29" s="425"/>
      <c r="F29" s="425"/>
      <c r="G29" s="425"/>
      <c r="H29" s="488" t="str">
        <f>Formblatt&amp;"/ "&amp;FormblattRev</f>
        <v>A19F100/ 02/08.17</v>
      </c>
    </row>
  </sheetData>
  <sheetProtection password="E9DA" sheet="1" objects="1" scenarios="1" selectLockedCells="1"/>
  <mergeCells count="22">
    <mergeCell ref="A27:B27"/>
    <mergeCell ref="A15:B15"/>
    <mergeCell ref="A19:B19"/>
    <mergeCell ref="A22:B22"/>
    <mergeCell ref="A24:B24"/>
    <mergeCell ref="A25:B25"/>
    <mergeCell ref="A26:B26"/>
    <mergeCell ref="A16:B16"/>
    <mergeCell ref="A17:H17"/>
    <mergeCell ref="C21:H21"/>
    <mergeCell ref="A14:B14"/>
    <mergeCell ref="D1:F1"/>
    <mergeCell ref="G1:H2"/>
    <mergeCell ref="A2:F2"/>
    <mergeCell ref="A6:B6"/>
    <mergeCell ref="A7:B7"/>
    <mergeCell ref="A8:B8"/>
    <mergeCell ref="A9:B9"/>
    <mergeCell ref="A10:B10"/>
    <mergeCell ref="A11:B11"/>
    <mergeCell ref="A12:B12"/>
    <mergeCell ref="A13:B13"/>
  </mergeCells>
  <dataValidations count="5">
    <dataValidation type="whole" allowBlank="1" showInputMessage="1" showErrorMessage="1" sqref="C26 G26 E26">
      <formula1>0</formula1>
      <formula2>12</formula2>
    </dataValidation>
    <dataValidation type="decimal" allowBlank="1" showInputMessage="1" showErrorMessage="1" sqref="F20 H20 D20">
      <formula1>0</formula1>
      <formula2>C19*MaxAdd</formula2>
    </dataValidation>
    <dataValidation type="list" allowBlank="1" showInputMessage="1" showErrorMessage="1" sqref="C7:C9 G13:G16 E13:E16 E7:E9 G7:G9 C13:C15 C25 E25 G25">
      <formula1>JaNein</formula1>
    </dataValidation>
    <dataValidation type="list" allowBlank="1" showInputMessage="1" showErrorMessage="1" sqref="C10 E10 G10">
      <formula1>ListeKomplexität</formula1>
    </dataValidation>
    <dataValidation type="list" allowBlank="1" showInputMessage="1" showErrorMessage="1" sqref="C11:C12 E11:E12 G11:G12">
      <formula1>Tätigkeiten</formula1>
    </dataValidation>
  </dataValidation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57"/>
  <sheetViews>
    <sheetView showGridLines="0" zoomScaleNormal="100" workbookViewId="0">
      <selection activeCell="A4" sqref="A4:K49"/>
    </sheetView>
  </sheetViews>
  <sheetFormatPr defaultColWidth="11.42578125" defaultRowHeight="12.75" x14ac:dyDescent="0.2"/>
  <cols>
    <col min="3" max="3" width="5" customWidth="1"/>
    <col min="4" max="4" width="4" customWidth="1"/>
    <col min="5" max="5" width="5.5703125" customWidth="1"/>
    <col min="6" max="6" width="4.85546875" customWidth="1"/>
    <col min="7" max="7" width="7.5703125" customWidth="1"/>
    <col min="9" max="9" width="8.85546875" customWidth="1"/>
    <col min="11" max="11" width="6" customWidth="1"/>
  </cols>
  <sheetData>
    <row r="1" spans="1:19" ht="23.25" customHeight="1" x14ac:dyDescent="0.25">
      <c r="A1" s="816" t="str">
        <f>Titel</f>
        <v>Audit programme Aero</v>
      </c>
      <c r="B1" s="547"/>
      <c r="C1" s="547"/>
      <c r="D1" s="547"/>
      <c r="E1" s="547"/>
      <c r="F1" s="817" t="str">
        <f>IF(Stammdaten!C5="","",Stammdaten!C5)</f>
        <v/>
      </c>
      <c r="G1" s="817"/>
      <c r="H1" s="817"/>
      <c r="I1" s="818"/>
      <c r="J1" s="807"/>
      <c r="K1" s="808"/>
      <c r="L1" s="5"/>
      <c r="M1" s="5"/>
      <c r="N1" s="5"/>
      <c r="O1" s="5"/>
      <c r="P1" s="5"/>
      <c r="Q1" s="5"/>
      <c r="R1" s="5"/>
      <c r="S1" s="4"/>
    </row>
    <row r="2" spans="1:19" ht="22.5" customHeight="1" x14ac:dyDescent="0.2">
      <c r="A2" s="811" t="str">
        <f>IF(Sprache=DE,"Bemerkungen/Begründungen","Comments/Remarks")</f>
        <v>Comments/Remarks</v>
      </c>
      <c r="B2" s="765"/>
      <c r="C2" s="765"/>
      <c r="D2" s="765"/>
      <c r="E2" s="765"/>
      <c r="F2" s="765"/>
      <c r="G2" s="765"/>
      <c r="H2" s="765"/>
      <c r="I2" s="766"/>
      <c r="J2" s="809"/>
      <c r="K2" s="810"/>
      <c r="L2" s="5"/>
      <c r="M2" s="5"/>
      <c r="N2" s="5"/>
      <c r="O2" s="5"/>
      <c r="P2" s="5"/>
      <c r="Q2" s="5"/>
      <c r="R2" s="5"/>
      <c r="S2" s="1"/>
    </row>
    <row r="3" spans="1:19" ht="14.25" x14ac:dyDescent="0.2">
      <c r="A3" s="847"/>
      <c r="B3" s="848"/>
      <c r="C3" s="848"/>
      <c r="D3" s="848"/>
      <c r="E3" s="848"/>
      <c r="F3" s="848"/>
      <c r="G3" s="848"/>
      <c r="H3" s="848"/>
      <c r="I3" s="849"/>
      <c r="J3" s="850"/>
      <c r="K3" s="851"/>
      <c r="L3" s="5"/>
      <c r="M3" s="5"/>
      <c r="N3" s="5"/>
      <c r="O3" s="5"/>
      <c r="P3" s="5"/>
      <c r="Q3" s="5"/>
      <c r="R3" s="5"/>
      <c r="S3" s="1"/>
    </row>
    <row r="4" spans="1:19" x14ac:dyDescent="0.2">
      <c r="A4" s="838"/>
      <c r="B4" s="839"/>
      <c r="C4" s="839"/>
      <c r="D4" s="839"/>
      <c r="E4" s="839"/>
      <c r="F4" s="839"/>
      <c r="G4" s="839"/>
      <c r="H4" s="839"/>
      <c r="I4" s="839"/>
      <c r="J4" s="839"/>
      <c r="K4" s="840"/>
    </row>
    <row r="5" spans="1:19" x14ac:dyDescent="0.2">
      <c r="A5" s="841"/>
      <c r="B5" s="842"/>
      <c r="C5" s="842"/>
      <c r="D5" s="842"/>
      <c r="E5" s="842"/>
      <c r="F5" s="842"/>
      <c r="G5" s="842"/>
      <c r="H5" s="842"/>
      <c r="I5" s="842"/>
      <c r="J5" s="842"/>
      <c r="K5" s="843"/>
    </row>
    <row r="6" spans="1:19" x14ac:dyDescent="0.2">
      <c r="A6" s="841"/>
      <c r="B6" s="842"/>
      <c r="C6" s="842"/>
      <c r="D6" s="842"/>
      <c r="E6" s="842"/>
      <c r="F6" s="842"/>
      <c r="G6" s="842"/>
      <c r="H6" s="842"/>
      <c r="I6" s="842"/>
      <c r="J6" s="842"/>
      <c r="K6" s="843"/>
    </row>
    <row r="7" spans="1:19" x14ac:dyDescent="0.2">
      <c r="A7" s="841"/>
      <c r="B7" s="842"/>
      <c r="C7" s="842"/>
      <c r="D7" s="842"/>
      <c r="E7" s="842"/>
      <c r="F7" s="842"/>
      <c r="G7" s="842"/>
      <c r="H7" s="842"/>
      <c r="I7" s="842"/>
      <c r="J7" s="842"/>
      <c r="K7" s="843"/>
    </row>
    <row r="8" spans="1:19" x14ac:dyDescent="0.2">
      <c r="A8" s="841"/>
      <c r="B8" s="842"/>
      <c r="C8" s="842"/>
      <c r="D8" s="842"/>
      <c r="E8" s="842"/>
      <c r="F8" s="842"/>
      <c r="G8" s="842"/>
      <c r="H8" s="842"/>
      <c r="I8" s="842"/>
      <c r="J8" s="842"/>
      <c r="K8" s="843"/>
    </row>
    <row r="9" spans="1:19" x14ac:dyDescent="0.2">
      <c r="A9" s="841"/>
      <c r="B9" s="842"/>
      <c r="C9" s="842"/>
      <c r="D9" s="842"/>
      <c r="E9" s="842"/>
      <c r="F9" s="842"/>
      <c r="G9" s="842"/>
      <c r="H9" s="842"/>
      <c r="I9" s="842"/>
      <c r="J9" s="842"/>
      <c r="K9" s="843"/>
    </row>
    <row r="10" spans="1:19" x14ac:dyDescent="0.2">
      <c r="A10" s="841"/>
      <c r="B10" s="842"/>
      <c r="C10" s="842"/>
      <c r="D10" s="842"/>
      <c r="E10" s="842"/>
      <c r="F10" s="842"/>
      <c r="G10" s="842"/>
      <c r="H10" s="842"/>
      <c r="I10" s="842"/>
      <c r="J10" s="842"/>
      <c r="K10" s="843"/>
    </row>
    <row r="11" spans="1:19" x14ac:dyDescent="0.2">
      <c r="A11" s="841"/>
      <c r="B11" s="842"/>
      <c r="C11" s="842"/>
      <c r="D11" s="842"/>
      <c r="E11" s="842"/>
      <c r="F11" s="842"/>
      <c r="G11" s="842"/>
      <c r="H11" s="842"/>
      <c r="I11" s="842"/>
      <c r="J11" s="842"/>
      <c r="K11" s="843"/>
    </row>
    <row r="12" spans="1:19" x14ac:dyDescent="0.2">
      <c r="A12" s="841"/>
      <c r="B12" s="842"/>
      <c r="C12" s="842"/>
      <c r="D12" s="842"/>
      <c r="E12" s="842"/>
      <c r="F12" s="842"/>
      <c r="G12" s="842"/>
      <c r="H12" s="842"/>
      <c r="I12" s="842"/>
      <c r="J12" s="842"/>
      <c r="K12" s="843"/>
    </row>
    <row r="13" spans="1:19" x14ac:dyDescent="0.2">
      <c r="A13" s="841"/>
      <c r="B13" s="842"/>
      <c r="C13" s="842"/>
      <c r="D13" s="842"/>
      <c r="E13" s="842"/>
      <c r="F13" s="842"/>
      <c r="G13" s="842"/>
      <c r="H13" s="842"/>
      <c r="I13" s="842"/>
      <c r="J13" s="842"/>
      <c r="K13" s="843"/>
    </row>
    <row r="14" spans="1:19" x14ac:dyDescent="0.2">
      <c r="A14" s="841"/>
      <c r="B14" s="842"/>
      <c r="C14" s="842"/>
      <c r="D14" s="842"/>
      <c r="E14" s="842"/>
      <c r="F14" s="842"/>
      <c r="G14" s="842"/>
      <c r="H14" s="842"/>
      <c r="I14" s="842"/>
      <c r="J14" s="842"/>
      <c r="K14" s="843"/>
    </row>
    <row r="15" spans="1:19" x14ac:dyDescent="0.2">
      <c r="A15" s="841"/>
      <c r="B15" s="842"/>
      <c r="C15" s="842"/>
      <c r="D15" s="842"/>
      <c r="E15" s="842"/>
      <c r="F15" s="842"/>
      <c r="G15" s="842"/>
      <c r="H15" s="842"/>
      <c r="I15" s="842"/>
      <c r="J15" s="842"/>
      <c r="K15" s="843"/>
    </row>
    <row r="16" spans="1:19" x14ac:dyDescent="0.2">
      <c r="A16" s="841"/>
      <c r="B16" s="842"/>
      <c r="C16" s="842"/>
      <c r="D16" s="842"/>
      <c r="E16" s="842"/>
      <c r="F16" s="842"/>
      <c r="G16" s="842"/>
      <c r="H16" s="842"/>
      <c r="I16" s="842"/>
      <c r="J16" s="842"/>
      <c r="K16" s="843"/>
    </row>
    <row r="17" spans="1:14" x14ac:dyDescent="0.2">
      <c r="A17" s="841"/>
      <c r="B17" s="842"/>
      <c r="C17" s="842"/>
      <c r="D17" s="842"/>
      <c r="E17" s="842"/>
      <c r="F17" s="842"/>
      <c r="G17" s="842"/>
      <c r="H17" s="842"/>
      <c r="I17" s="842"/>
      <c r="J17" s="842"/>
      <c r="K17" s="843"/>
    </row>
    <row r="18" spans="1:14" x14ac:dyDescent="0.2">
      <c r="A18" s="841"/>
      <c r="B18" s="842"/>
      <c r="C18" s="842"/>
      <c r="D18" s="842"/>
      <c r="E18" s="842"/>
      <c r="F18" s="842"/>
      <c r="G18" s="842"/>
      <c r="H18" s="842"/>
      <c r="I18" s="842"/>
      <c r="J18" s="842"/>
      <c r="K18" s="843"/>
    </row>
    <row r="19" spans="1:14" x14ac:dyDescent="0.2">
      <c r="A19" s="841"/>
      <c r="B19" s="842"/>
      <c r="C19" s="842"/>
      <c r="D19" s="842"/>
      <c r="E19" s="842"/>
      <c r="F19" s="842"/>
      <c r="G19" s="842"/>
      <c r="H19" s="842"/>
      <c r="I19" s="842"/>
      <c r="J19" s="842"/>
      <c r="K19" s="843"/>
    </row>
    <row r="20" spans="1:14" x14ac:dyDescent="0.2">
      <c r="A20" s="841"/>
      <c r="B20" s="842"/>
      <c r="C20" s="842"/>
      <c r="D20" s="842"/>
      <c r="E20" s="842"/>
      <c r="F20" s="842"/>
      <c r="G20" s="842"/>
      <c r="H20" s="842"/>
      <c r="I20" s="842"/>
      <c r="J20" s="842"/>
      <c r="K20" s="843"/>
    </row>
    <row r="21" spans="1:14" x14ac:dyDescent="0.2">
      <c r="A21" s="841"/>
      <c r="B21" s="842"/>
      <c r="C21" s="842"/>
      <c r="D21" s="842"/>
      <c r="E21" s="842"/>
      <c r="F21" s="842"/>
      <c r="G21" s="842"/>
      <c r="H21" s="842"/>
      <c r="I21" s="842"/>
      <c r="J21" s="842"/>
      <c r="K21" s="843"/>
    </row>
    <row r="22" spans="1:14" x14ac:dyDescent="0.2">
      <c r="A22" s="841"/>
      <c r="B22" s="842"/>
      <c r="C22" s="842"/>
      <c r="D22" s="842"/>
      <c r="E22" s="842"/>
      <c r="F22" s="842"/>
      <c r="G22" s="842"/>
      <c r="H22" s="842"/>
      <c r="I22" s="842"/>
      <c r="J22" s="842"/>
      <c r="K22" s="843"/>
    </row>
    <row r="23" spans="1:14" x14ac:dyDescent="0.2">
      <c r="A23" s="841"/>
      <c r="B23" s="842"/>
      <c r="C23" s="842"/>
      <c r="D23" s="842"/>
      <c r="E23" s="842"/>
      <c r="F23" s="842"/>
      <c r="G23" s="842"/>
      <c r="H23" s="842"/>
      <c r="I23" s="842"/>
      <c r="J23" s="842"/>
      <c r="K23" s="843"/>
    </row>
    <row r="24" spans="1:14" x14ac:dyDescent="0.2">
      <c r="A24" s="841"/>
      <c r="B24" s="842"/>
      <c r="C24" s="842"/>
      <c r="D24" s="842"/>
      <c r="E24" s="842"/>
      <c r="F24" s="842"/>
      <c r="G24" s="842"/>
      <c r="H24" s="842"/>
      <c r="I24" s="842"/>
      <c r="J24" s="842"/>
      <c r="K24" s="843"/>
    </row>
    <row r="25" spans="1:14" x14ac:dyDescent="0.2">
      <c r="A25" s="841"/>
      <c r="B25" s="842"/>
      <c r="C25" s="842"/>
      <c r="D25" s="842"/>
      <c r="E25" s="842"/>
      <c r="F25" s="842"/>
      <c r="G25" s="842"/>
      <c r="H25" s="842"/>
      <c r="I25" s="842"/>
      <c r="J25" s="842"/>
      <c r="K25" s="843"/>
      <c r="M25" s="837" t="s">
        <v>2</v>
      </c>
      <c r="N25" s="837"/>
    </row>
    <row r="26" spans="1:14" x14ac:dyDescent="0.2">
      <c r="A26" s="841"/>
      <c r="B26" s="842"/>
      <c r="C26" s="842"/>
      <c r="D26" s="842"/>
      <c r="E26" s="842"/>
      <c r="F26" s="842"/>
      <c r="G26" s="842"/>
      <c r="H26" s="842"/>
      <c r="I26" s="842"/>
      <c r="J26" s="842"/>
      <c r="K26" s="843"/>
      <c r="M26" s="837"/>
      <c r="N26" s="837"/>
    </row>
    <row r="27" spans="1:14" x14ac:dyDescent="0.2">
      <c r="A27" s="841"/>
      <c r="B27" s="842"/>
      <c r="C27" s="842"/>
      <c r="D27" s="842"/>
      <c r="E27" s="842"/>
      <c r="F27" s="842"/>
      <c r="G27" s="842"/>
      <c r="H27" s="842"/>
      <c r="I27" s="842"/>
      <c r="J27" s="842"/>
      <c r="K27" s="843"/>
      <c r="M27" s="837"/>
      <c r="N27" s="837"/>
    </row>
    <row r="28" spans="1:14" x14ac:dyDescent="0.2">
      <c r="A28" s="841"/>
      <c r="B28" s="842"/>
      <c r="C28" s="842"/>
      <c r="D28" s="842"/>
      <c r="E28" s="842"/>
      <c r="F28" s="842"/>
      <c r="G28" s="842"/>
      <c r="H28" s="842"/>
      <c r="I28" s="842"/>
      <c r="J28" s="842"/>
      <c r="K28" s="843"/>
      <c r="M28" s="837"/>
      <c r="N28" s="837"/>
    </row>
    <row r="29" spans="1:14" x14ac:dyDescent="0.2">
      <c r="A29" s="841"/>
      <c r="B29" s="842"/>
      <c r="C29" s="842"/>
      <c r="D29" s="842"/>
      <c r="E29" s="842"/>
      <c r="F29" s="842"/>
      <c r="G29" s="842"/>
      <c r="H29" s="842"/>
      <c r="I29" s="842"/>
      <c r="J29" s="842"/>
      <c r="K29" s="843"/>
    </row>
    <row r="30" spans="1:14" x14ac:dyDescent="0.2">
      <c r="A30" s="841"/>
      <c r="B30" s="842"/>
      <c r="C30" s="842"/>
      <c r="D30" s="842"/>
      <c r="E30" s="842"/>
      <c r="F30" s="842"/>
      <c r="G30" s="842"/>
      <c r="H30" s="842"/>
      <c r="I30" s="842"/>
      <c r="J30" s="842"/>
      <c r="K30" s="843"/>
    </row>
    <row r="31" spans="1:14" x14ac:dyDescent="0.2">
      <c r="A31" s="841"/>
      <c r="B31" s="842"/>
      <c r="C31" s="842"/>
      <c r="D31" s="842"/>
      <c r="E31" s="842"/>
      <c r="F31" s="842"/>
      <c r="G31" s="842"/>
      <c r="H31" s="842"/>
      <c r="I31" s="842"/>
      <c r="J31" s="842"/>
      <c r="K31" s="843"/>
    </row>
    <row r="32" spans="1:14" x14ac:dyDescent="0.2">
      <c r="A32" s="841"/>
      <c r="B32" s="842"/>
      <c r="C32" s="842"/>
      <c r="D32" s="842"/>
      <c r="E32" s="842"/>
      <c r="F32" s="842"/>
      <c r="G32" s="842"/>
      <c r="H32" s="842"/>
      <c r="I32" s="842"/>
      <c r="J32" s="842"/>
      <c r="K32" s="843"/>
    </row>
    <row r="33" spans="1:11" x14ac:dyDescent="0.2">
      <c r="A33" s="841"/>
      <c r="B33" s="842"/>
      <c r="C33" s="842"/>
      <c r="D33" s="842"/>
      <c r="E33" s="842"/>
      <c r="F33" s="842"/>
      <c r="G33" s="842"/>
      <c r="H33" s="842"/>
      <c r="I33" s="842"/>
      <c r="J33" s="842"/>
      <c r="K33" s="843"/>
    </row>
    <row r="34" spans="1:11" x14ac:dyDescent="0.2">
      <c r="A34" s="841"/>
      <c r="B34" s="842"/>
      <c r="C34" s="842"/>
      <c r="D34" s="842"/>
      <c r="E34" s="842"/>
      <c r="F34" s="842"/>
      <c r="G34" s="842"/>
      <c r="H34" s="842"/>
      <c r="I34" s="842"/>
      <c r="J34" s="842"/>
      <c r="K34" s="843"/>
    </row>
    <row r="35" spans="1:11" x14ac:dyDescent="0.2">
      <c r="A35" s="841"/>
      <c r="B35" s="842"/>
      <c r="C35" s="842"/>
      <c r="D35" s="842"/>
      <c r="E35" s="842"/>
      <c r="F35" s="842"/>
      <c r="G35" s="842"/>
      <c r="H35" s="842"/>
      <c r="I35" s="842"/>
      <c r="J35" s="842"/>
      <c r="K35" s="843"/>
    </row>
    <row r="36" spans="1:11" x14ac:dyDescent="0.2">
      <c r="A36" s="841"/>
      <c r="B36" s="842"/>
      <c r="C36" s="842"/>
      <c r="D36" s="842"/>
      <c r="E36" s="842"/>
      <c r="F36" s="842"/>
      <c r="G36" s="842"/>
      <c r="H36" s="842"/>
      <c r="I36" s="842"/>
      <c r="J36" s="842"/>
      <c r="K36" s="843"/>
    </row>
    <row r="37" spans="1:11" x14ac:dyDescent="0.2">
      <c r="A37" s="841"/>
      <c r="B37" s="842"/>
      <c r="C37" s="842"/>
      <c r="D37" s="842"/>
      <c r="E37" s="842"/>
      <c r="F37" s="842"/>
      <c r="G37" s="842"/>
      <c r="H37" s="842"/>
      <c r="I37" s="842"/>
      <c r="J37" s="842"/>
      <c r="K37" s="843"/>
    </row>
    <row r="38" spans="1:11" x14ac:dyDescent="0.2">
      <c r="A38" s="841"/>
      <c r="B38" s="842"/>
      <c r="C38" s="842"/>
      <c r="D38" s="842"/>
      <c r="E38" s="842"/>
      <c r="F38" s="842"/>
      <c r="G38" s="842"/>
      <c r="H38" s="842"/>
      <c r="I38" s="842"/>
      <c r="J38" s="842"/>
      <c r="K38" s="843"/>
    </row>
    <row r="39" spans="1:11" x14ac:dyDescent="0.2">
      <c r="A39" s="841"/>
      <c r="B39" s="842"/>
      <c r="C39" s="842"/>
      <c r="D39" s="842"/>
      <c r="E39" s="842"/>
      <c r="F39" s="842"/>
      <c r="G39" s="842"/>
      <c r="H39" s="842"/>
      <c r="I39" s="842"/>
      <c r="J39" s="842"/>
      <c r="K39" s="843"/>
    </row>
    <row r="40" spans="1:11" x14ac:dyDescent="0.2">
      <c r="A40" s="841"/>
      <c r="B40" s="842"/>
      <c r="C40" s="842"/>
      <c r="D40" s="842"/>
      <c r="E40" s="842"/>
      <c r="F40" s="842"/>
      <c r="G40" s="842"/>
      <c r="H40" s="842"/>
      <c r="I40" s="842"/>
      <c r="J40" s="842"/>
      <c r="K40" s="843"/>
    </row>
    <row r="41" spans="1:11" x14ac:dyDescent="0.2">
      <c r="A41" s="841"/>
      <c r="B41" s="842"/>
      <c r="C41" s="842"/>
      <c r="D41" s="842"/>
      <c r="E41" s="842"/>
      <c r="F41" s="842"/>
      <c r="G41" s="842"/>
      <c r="H41" s="842"/>
      <c r="I41" s="842"/>
      <c r="J41" s="842"/>
      <c r="K41" s="843"/>
    </row>
    <row r="42" spans="1:11" x14ac:dyDescent="0.2">
      <c r="A42" s="841"/>
      <c r="B42" s="842"/>
      <c r="C42" s="842"/>
      <c r="D42" s="842"/>
      <c r="E42" s="842"/>
      <c r="F42" s="842"/>
      <c r="G42" s="842"/>
      <c r="H42" s="842"/>
      <c r="I42" s="842"/>
      <c r="J42" s="842"/>
      <c r="K42" s="843"/>
    </row>
    <row r="43" spans="1:11" x14ac:dyDescent="0.2">
      <c r="A43" s="841"/>
      <c r="B43" s="842"/>
      <c r="C43" s="842"/>
      <c r="D43" s="842"/>
      <c r="E43" s="842"/>
      <c r="F43" s="842"/>
      <c r="G43" s="842"/>
      <c r="H43" s="842"/>
      <c r="I43" s="842"/>
      <c r="J43" s="842"/>
      <c r="K43" s="843"/>
    </row>
    <row r="44" spans="1:11" x14ac:dyDescent="0.2">
      <c r="A44" s="841"/>
      <c r="B44" s="842"/>
      <c r="C44" s="842"/>
      <c r="D44" s="842"/>
      <c r="E44" s="842"/>
      <c r="F44" s="842"/>
      <c r="G44" s="842"/>
      <c r="H44" s="842"/>
      <c r="I44" s="842"/>
      <c r="J44" s="842"/>
      <c r="K44" s="843"/>
    </row>
    <row r="45" spans="1:11" x14ac:dyDescent="0.2">
      <c r="A45" s="841"/>
      <c r="B45" s="842"/>
      <c r="C45" s="842"/>
      <c r="D45" s="842"/>
      <c r="E45" s="842"/>
      <c r="F45" s="842"/>
      <c r="G45" s="842"/>
      <c r="H45" s="842"/>
      <c r="I45" s="842"/>
      <c r="J45" s="842"/>
      <c r="K45" s="843"/>
    </row>
    <row r="46" spans="1:11" x14ac:dyDescent="0.2">
      <c r="A46" s="841"/>
      <c r="B46" s="842"/>
      <c r="C46" s="842"/>
      <c r="D46" s="842"/>
      <c r="E46" s="842"/>
      <c r="F46" s="842"/>
      <c r="G46" s="842"/>
      <c r="H46" s="842"/>
      <c r="I46" s="842"/>
      <c r="J46" s="842"/>
      <c r="K46" s="843"/>
    </row>
    <row r="47" spans="1:11" x14ac:dyDescent="0.2">
      <c r="A47" s="841"/>
      <c r="B47" s="842"/>
      <c r="C47" s="842"/>
      <c r="D47" s="842"/>
      <c r="E47" s="842"/>
      <c r="F47" s="842"/>
      <c r="G47" s="842"/>
      <c r="H47" s="842"/>
      <c r="I47" s="842"/>
      <c r="J47" s="842"/>
      <c r="K47" s="843"/>
    </row>
    <row r="48" spans="1:11" x14ac:dyDescent="0.2">
      <c r="A48" s="841"/>
      <c r="B48" s="842"/>
      <c r="C48" s="842"/>
      <c r="D48" s="842"/>
      <c r="E48" s="842"/>
      <c r="F48" s="842"/>
      <c r="G48" s="842"/>
      <c r="H48" s="842"/>
      <c r="I48" s="842"/>
      <c r="J48" s="842"/>
      <c r="K48" s="843"/>
    </row>
    <row r="49" spans="1:11" ht="15" customHeight="1" x14ac:dyDescent="0.2">
      <c r="A49" s="844"/>
      <c r="B49" s="845"/>
      <c r="C49" s="845"/>
      <c r="D49" s="845"/>
      <c r="E49" s="845"/>
      <c r="F49" s="845"/>
      <c r="G49" s="845"/>
      <c r="H49" s="845"/>
      <c r="I49" s="845"/>
      <c r="J49" s="845"/>
      <c r="K49" s="846"/>
    </row>
    <row r="50" spans="1:11" ht="14.25" hidden="1" x14ac:dyDescent="0.2">
      <c r="A50" s="6"/>
      <c r="B50" s="5"/>
      <c r="C50" s="5"/>
      <c r="D50" s="5"/>
      <c r="E50" s="5"/>
      <c r="F50" s="5"/>
      <c r="G50" s="5"/>
      <c r="H50" s="1"/>
      <c r="I50" s="2"/>
      <c r="J50" s="2"/>
      <c r="K50" s="7"/>
    </row>
    <row r="51" spans="1:11" ht="14.25" hidden="1" x14ac:dyDescent="0.2">
      <c r="A51" s="6"/>
      <c r="B51" s="5"/>
      <c r="C51" s="5"/>
      <c r="D51" s="5"/>
      <c r="E51" s="5"/>
      <c r="F51" s="5"/>
      <c r="G51" s="5"/>
      <c r="H51" s="1"/>
      <c r="I51" s="2"/>
      <c r="J51" s="2"/>
      <c r="K51" s="7"/>
    </row>
    <row r="52" spans="1:11" ht="14.25" hidden="1" x14ac:dyDescent="0.2">
      <c r="A52" s="6"/>
      <c r="B52" s="5"/>
      <c r="C52" s="5"/>
      <c r="D52" s="5"/>
      <c r="E52" s="5"/>
      <c r="F52" s="5"/>
      <c r="G52" s="5"/>
      <c r="H52" s="1"/>
      <c r="I52" s="2"/>
      <c r="J52" s="2"/>
      <c r="K52" s="7"/>
    </row>
    <row r="53" spans="1:11" ht="14.25" hidden="1" x14ac:dyDescent="0.2">
      <c r="A53" s="6"/>
      <c r="B53" s="5"/>
      <c r="C53" s="5"/>
      <c r="D53" s="5"/>
      <c r="E53" s="5"/>
      <c r="F53" s="5"/>
      <c r="G53" s="5"/>
      <c r="H53" s="1"/>
      <c r="I53" s="2"/>
      <c r="J53" s="2"/>
      <c r="K53" s="7"/>
    </row>
    <row r="54" spans="1:11" ht="14.25" hidden="1" x14ac:dyDescent="0.2">
      <c r="A54" s="6"/>
      <c r="B54" s="5"/>
      <c r="C54" s="5"/>
      <c r="D54" s="5"/>
      <c r="E54" s="5"/>
      <c r="F54" s="5"/>
      <c r="G54" s="5"/>
      <c r="H54" s="1"/>
      <c r="I54" s="2"/>
      <c r="J54" s="2"/>
      <c r="K54" s="7"/>
    </row>
    <row r="55" spans="1:11" ht="14.25" hidden="1" x14ac:dyDescent="0.2">
      <c r="A55" s="6"/>
      <c r="B55" s="5"/>
      <c r="C55" s="5"/>
      <c r="D55" s="5"/>
      <c r="E55" s="5"/>
      <c r="F55" s="5"/>
      <c r="G55" s="5"/>
      <c r="H55" s="1"/>
      <c r="I55" s="2"/>
      <c r="J55" s="2"/>
      <c r="K55" s="7"/>
    </row>
    <row r="56" spans="1:11" ht="13.5" hidden="1" customHeight="1" x14ac:dyDescent="0.2">
      <c r="A56" s="8"/>
      <c r="B56" s="9"/>
      <c r="C56" s="9"/>
      <c r="D56" s="9"/>
      <c r="E56" s="9"/>
      <c r="F56" s="9"/>
      <c r="G56" s="9"/>
      <c r="H56" s="3"/>
      <c r="I56" s="10"/>
      <c r="J56" s="10"/>
      <c r="K56" s="11"/>
    </row>
    <row r="57" spans="1:11" ht="13.9" customHeight="1" x14ac:dyDescent="0.2">
      <c r="A57" s="28"/>
      <c r="B57" s="29"/>
      <c r="C57" s="29"/>
      <c r="D57" s="29"/>
      <c r="E57" s="29"/>
      <c r="F57" s="29"/>
      <c r="G57" s="29"/>
      <c r="H57" s="29"/>
      <c r="I57" s="66" t="str">
        <f>Formblatt &amp;"/"&amp;FormblattRev</f>
        <v>A19F100/02/08.17</v>
      </c>
      <c r="J57" s="29"/>
      <c r="K57" s="30"/>
    </row>
  </sheetData>
  <sheetProtection password="E9DA" sheet="1" objects="1" scenarios="1" selectLockedCells="1"/>
  <mergeCells count="8">
    <mergeCell ref="M25:N28"/>
    <mergeCell ref="A4:K49"/>
    <mergeCell ref="F1:I1"/>
    <mergeCell ref="J1:K2"/>
    <mergeCell ref="A2:I2"/>
    <mergeCell ref="A3:I3"/>
    <mergeCell ref="J3:K3"/>
    <mergeCell ref="A1:E1"/>
  </mergeCells>
  <phoneticPr fontId="7" type="noConversion"/>
  <pageMargins left="0.78740157480314965" right="0.78740157480314965" top="0.78740157480314965" bottom="0.98425196850393704" header="0.51181102362204722" footer="0.51181102362204722"/>
  <pageSetup paperSize="9" scale="97" orientation="portrait" r:id="rId1"/>
  <headerFooter scaleWithDoc="0">
    <oddHeader>&amp;L&amp;F&amp;R&amp;A</oddHeader>
    <oddFooter>&amp;LSeite &amp;P / &amp;N&amp;R&amp;D / &amp;T</oddFooter>
  </headerFooter>
  <ignoredErrors>
    <ignoredError sqref="F1" emptyCellReference="1"/>
  </ignoredErrors>
  <drawing r:id="rId2"/>
  <legacyDrawing r:id="rId3"/>
  <oleObjects>
    <mc:AlternateContent xmlns:mc="http://schemas.openxmlformats.org/markup-compatibility/2006">
      <mc:Choice Requires="x14">
        <oleObject progId="Word.Document.8" shapeId="2" r:id="rId4">
          <objectPr locked="0" defaultSize="0" autoPict="0" r:id="rId5">
            <anchor moveWithCells="1">
              <from>
                <xdr:col>0</xdr:col>
                <xdr:colOff>104775</xdr:colOff>
                <xdr:row>3</xdr:row>
                <xdr:rowOff>66675</xdr:rowOff>
              </from>
              <to>
                <xdr:col>10</xdr:col>
                <xdr:colOff>333375</xdr:colOff>
                <xdr:row>47</xdr:row>
                <xdr:rowOff>123825</xdr:rowOff>
              </to>
            </anchor>
          </objectPr>
        </oleObject>
      </mc:Choice>
      <mc:Fallback>
        <oleObject progId="Word.Document.8" shapeId="12294"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64"/>
  <sheetViews>
    <sheetView showRowColHeaders="0" topLeftCell="A22" workbookViewId="0">
      <selection activeCell="D1" sqref="D1"/>
    </sheetView>
  </sheetViews>
  <sheetFormatPr defaultColWidth="11.42578125" defaultRowHeight="12.75" x14ac:dyDescent="0.2"/>
  <cols>
    <col min="1" max="1" width="7.140625" style="139" bestFit="1" customWidth="1"/>
    <col min="2" max="2" width="6.28515625" style="146" bestFit="1" customWidth="1"/>
    <col min="3" max="3" width="127" style="139" bestFit="1" customWidth="1"/>
    <col min="4" max="16384" width="11.42578125" style="139"/>
  </cols>
  <sheetData>
    <row r="1" spans="1:4" ht="15" x14ac:dyDescent="0.25">
      <c r="A1" s="262" t="s">
        <v>151</v>
      </c>
      <c r="B1" s="262" t="s">
        <v>864</v>
      </c>
      <c r="C1" s="262" t="s">
        <v>61</v>
      </c>
    </row>
    <row r="2" spans="1:4" ht="15" x14ac:dyDescent="0.25">
      <c r="A2" s="259">
        <v>1</v>
      </c>
      <c r="B2" s="260"/>
      <c r="C2" s="261" t="s">
        <v>49</v>
      </c>
      <c r="D2" s="126"/>
    </row>
    <row r="3" spans="1:4" ht="15" x14ac:dyDescent="0.25">
      <c r="A3" s="131">
        <v>1</v>
      </c>
      <c r="B3" s="122" t="s">
        <v>62</v>
      </c>
      <c r="C3" s="132" t="s">
        <v>63</v>
      </c>
      <c r="D3" s="126"/>
    </row>
    <row r="4" spans="1:4" ht="15.75" thickBot="1" x14ac:dyDescent="0.3">
      <c r="A4" s="131">
        <v>1</v>
      </c>
      <c r="B4" s="122" t="s">
        <v>123</v>
      </c>
      <c r="C4" s="132" t="s">
        <v>124</v>
      </c>
      <c r="D4" s="126"/>
    </row>
    <row r="5" spans="1:4" s="140" customFormat="1" ht="15" x14ac:dyDescent="0.25">
      <c r="A5" s="128">
        <v>2</v>
      </c>
      <c r="B5" s="129"/>
      <c r="C5" s="130" t="s">
        <v>50</v>
      </c>
      <c r="D5" s="127"/>
    </row>
    <row r="6" spans="1:4" ht="15" x14ac:dyDescent="0.25">
      <c r="A6" s="131">
        <v>2</v>
      </c>
      <c r="B6" s="141" t="s">
        <v>68</v>
      </c>
      <c r="C6" s="132" t="s">
        <v>69</v>
      </c>
      <c r="D6" s="126"/>
    </row>
    <row r="7" spans="1:4" ht="15" x14ac:dyDescent="0.25">
      <c r="A7" s="131">
        <v>2</v>
      </c>
      <c r="B7" s="141" t="s">
        <v>70</v>
      </c>
      <c r="C7" s="132" t="s">
        <v>71</v>
      </c>
      <c r="D7" s="126"/>
    </row>
    <row r="8" spans="1:4" ht="15" x14ac:dyDescent="0.25">
      <c r="A8" s="131">
        <v>2</v>
      </c>
      <c r="B8" s="122" t="s">
        <v>72</v>
      </c>
      <c r="C8" s="132" t="s">
        <v>73</v>
      </c>
      <c r="D8" s="126"/>
    </row>
    <row r="9" spans="1:4" ht="15" x14ac:dyDescent="0.25">
      <c r="A9" s="131">
        <v>2</v>
      </c>
      <c r="B9" s="122" t="s">
        <v>74</v>
      </c>
      <c r="C9" s="132" t="s">
        <v>75</v>
      </c>
      <c r="D9" s="126"/>
    </row>
    <row r="10" spans="1:4" ht="15" x14ac:dyDescent="0.25">
      <c r="A10" s="131">
        <v>2</v>
      </c>
      <c r="B10" s="122" t="s">
        <v>76</v>
      </c>
      <c r="C10" s="132" t="s">
        <v>77</v>
      </c>
      <c r="D10" s="126"/>
    </row>
    <row r="11" spans="1:4" ht="15" x14ac:dyDescent="0.25">
      <c r="A11" s="131">
        <v>2</v>
      </c>
      <c r="B11" s="122" t="s">
        <v>78</v>
      </c>
      <c r="C11" s="132" t="s">
        <v>79</v>
      </c>
      <c r="D11" s="126"/>
    </row>
    <row r="12" spans="1:4" ht="15" x14ac:dyDescent="0.25">
      <c r="A12" s="131">
        <v>2</v>
      </c>
      <c r="B12" s="122" t="s">
        <v>80</v>
      </c>
      <c r="C12" s="132" t="s">
        <v>81</v>
      </c>
      <c r="D12" s="126"/>
    </row>
    <row r="13" spans="1:4" ht="15" x14ac:dyDescent="0.25">
      <c r="A13" s="131">
        <v>2</v>
      </c>
      <c r="B13" s="122" t="s">
        <v>84</v>
      </c>
      <c r="C13" s="132" t="s">
        <v>85</v>
      </c>
      <c r="D13" s="126"/>
    </row>
    <row r="14" spans="1:4" ht="15" x14ac:dyDescent="0.25">
      <c r="A14" s="131">
        <v>2</v>
      </c>
      <c r="B14" s="122" t="s">
        <v>88</v>
      </c>
      <c r="C14" s="132" t="s">
        <v>89</v>
      </c>
      <c r="D14" s="126"/>
    </row>
    <row r="15" spans="1:4" ht="15" x14ac:dyDescent="0.25">
      <c r="A15" s="131">
        <v>2</v>
      </c>
      <c r="B15" s="122" t="s">
        <v>90</v>
      </c>
      <c r="C15" s="132" t="s">
        <v>91</v>
      </c>
      <c r="D15" s="126"/>
    </row>
    <row r="16" spans="1:4" ht="15" x14ac:dyDescent="0.25">
      <c r="A16" s="131">
        <v>2</v>
      </c>
      <c r="B16" s="122" t="s">
        <v>92</v>
      </c>
      <c r="C16" s="132" t="s">
        <v>93</v>
      </c>
      <c r="D16" s="126"/>
    </row>
    <row r="17" spans="1:4" ht="15" x14ac:dyDescent="0.25">
      <c r="A17" s="131">
        <v>2</v>
      </c>
      <c r="B17" s="122" t="s">
        <v>94</v>
      </c>
      <c r="C17" s="132" t="s">
        <v>95</v>
      </c>
      <c r="D17" s="126"/>
    </row>
    <row r="18" spans="1:4" ht="15" x14ac:dyDescent="0.25">
      <c r="A18" s="131">
        <v>2</v>
      </c>
      <c r="B18" s="142" t="s">
        <v>96</v>
      </c>
      <c r="C18" s="132" t="s">
        <v>97</v>
      </c>
      <c r="D18" s="126"/>
    </row>
    <row r="19" spans="1:4" ht="15" x14ac:dyDescent="0.25">
      <c r="A19" s="131">
        <v>2</v>
      </c>
      <c r="B19" s="142" t="s">
        <v>98</v>
      </c>
      <c r="C19" s="132" t="s">
        <v>99</v>
      </c>
      <c r="D19" s="126"/>
    </row>
    <row r="20" spans="1:4" ht="15" x14ac:dyDescent="0.25">
      <c r="A20" s="131">
        <v>2</v>
      </c>
      <c r="B20" s="263" t="s">
        <v>865</v>
      </c>
      <c r="C20" s="132" t="s">
        <v>100</v>
      </c>
      <c r="D20" s="126"/>
    </row>
    <row r="21" spans="1:4" ht="15" x14ac:dyDescent="0.25">
      <c r="A21" s="131">
        <v>2</v>
      </c>
      <c r="B21" s="122" t="s">
        <v>101</v>
      </c>
      <c r="C21" s="132" t="s">
        <v>102</v>
      </c>
      <c r="D21" s="126"/>
    </row>
    <row r="22" spans="1:4" ht="15" x14ac:dyDescent="0.25">
      <c r="A22" s="131">
        <v>2</v>
      </c>
      <c r="B22" s="122" t="s">
        <v>105</v>
      </c>
      <c r="C22" s="132" t="s">
        <v>106</v>
      </c>
      <c r="D22" s="126"/>
    </row>
    <row r="23" spans="1:4" ht="15" x14ac:dyDescent="0.25">
      <c r="A23" s="131">
        <v>2</v>
      </c>
      <c r="B23" s="122" t="s">
        <v>107</v>
      </c>
      <c r="C23" s="132" t="s">
        <v>108</v>
      </c>
      <c r="D23" s="126"/>
    </row>
    <row r="24" spans="1:4" ht="15.75" thickBot="1" x14ac:dyDescent="0.3">
      <c r="A24" s="133">
        <v>2</v>
      </c>
      <c r="B24" s="134" t="s">
        <v>121</v>
      </c>
      <c r="C24" s="135" t="s">
        <v>122</v>
      </c>
      <c r="D24" s="126"/>
    </row>
    <row r="25" spans="1:4" s="140" customFormat="1" ht="15" x14ac:dyDescent="0.25">
      <c r="A25" s="128">
        <v>3</v>
      </c>
      <c r="B25" s="129"/>
      <c r="C25" s="130" t="s">
        <v>51</v>
      </c>
      <c r="D25" s="127"/>
    </row>
    <row r="26" spans="1:4" ht="15" x14ac:dyDescent="0.25">
      <c r="A26" s="131">
        <v>3</v>
      </c>
      <c r="B26" s="122" t="s">
        <v>64</v>
      </c>
      <c r="C26" s="132" t="s">
        <v>65</v>
      </c>
      <c r="D26" s="126"/>
    </row>
    <row r="27" spans="1:4" ht="15" x14ac:dyDescent="0.25">
      <c r="A27" s="131">
        <v>3</v>
      </c>
      <c r="B27" s="122" t="s">
        <v>117</v>
      </c>
      <c r="C27" s="132" t="s">
        <v>118</v>
      </c>
      <c r="D27" s="126"/>
    </row>
    <row r="28" spans="1:4" ht="15.75" thickBot="1" x14ac:dyDescent="0.3">
      <c r="A28" s="133">
        <v>3</v>
      </c>
      <c r="B28" s="134" t="s">
        <v>135</v>
      </c>
      <c r="C28" s="135" t="s">
        <v>136</v>
      </c>
      <c r="D28" s="126"/>
    </row>
    <row r="29" spans="1:4" s="140" customFormat="1" ht="15" x14ac:dyDescent="0.25">
      <c r="A29" s="128">
        <v>4</v>
      </c>
      <c r="B29" s="129"/>
      <c r="C29" s="130" t="s">
        <v>52</v>
      </c>
      <c r="D29" s="127"/>
    </row>
    <row r="30" spans="1:4" ht="15" x14ac:dyDescent="0.25">
      <c r="A30" s="131">
        <v>4</v>
      </c>
      <c r="B30" s="122" t="s">
        <v>109</v>
      </c>
      <c r="C30" s="132" t="s">
        <v>110</v>
      </c>
      <c r="D30" s="126"/>
    </row>
    <row r="31" spans="1:4" ht="15" x14ac:dyDescent="0.25">
      <c r="A31" s="131">
        <v>4</v>
      </c>
      <c r="B31" s="122" t="s">
        <v>111</v>
      </c>
      <c r="C31" s="132" t="s">
        <v>112</v>
      </c>
      <c r="D31" s="126"/>
    </row>
    <row r="32" spans="1:4" ht="15" x14ac:dyDescent="0.25">
      <c r="A32" s="131">
        <v>4</v>
      </c>
      <c r="B32" s="122" t="s">
        <v>113</v>
      </c>
      <c r="C32" s="132" t="s">
        <v>114</v>
      </c>
      <c r="D32" s="126"/>
    </row>
    <row r="33" spans="1:4" ht="15.75" thickBot="1" x14ac:dyDescent="0.3">
      <c r="A33" s="133">
        <v>4</v>
      </c>
      <c r="B33" s="134" t="s">
        <v>115</v>
      </c>
      <c r="C33" s="135" t="s">
        <v>116</v>
      </c>
      <c r="D33" s="126"/>
    </row>
    <row r="34" spans="1:4" s="140" customFormat="1" ht="15" x14ac:dyDescent="0.25">
      <c r="A34" s="128">
        <v>5</v>
      </c>
      <c r="B34" s="129"/>
      <c r="C34" s="130" t="s">
        <v>53</v>
      </c>
      <c r="D34" s="127"/>
    </row>
    <row r="35" spans="1:4" ht="15" x14ac:dyDescent="0.25">
      <c r="A35" s="131">
        <v>5</v>
      </c>
      <c r="B35" s="122" t="s">
        <v>119</v>
      </c>
      <c r="C35" s="132" t="s">
        <v>120</v>
      </c>
      <c r="D35" s="126"/>
    </row>
    <row r="36" spans="1:4" ht="15" x14ac:dyDescent="0.25">
      <c r="A36" s="131">
        <v>5</v>
      </c>
      <c r="B36" s="122" t="s">
        <v>125</v>
      </c>
      <c r="C36" s="132" t="s">
        <v>126</v>
      </c>
      <c r="D36" s="126"/>
    </row>
    <row r="37" spans="1:4" ht="15" x14ac:dyDescent="0.25">
      <c r="A37" s="131">
        <v>5</v>
      </c>
      <c r="B37" s="143" t="s">
        <v>127</v>
      </c>
      <c r="C37" s="132" t="s">
        <v>128</v>
      </c>
      <c r="D37" s="126"/>
    </row>
    <row r="38" spans="1:4" ht="15" x14ac:dyDescent="0.25">
      <c r="A38" s="131">
        <v>5</v>
      </c>
      <c r="B38" s="122" t="s">
        <v>129</v>
      </c>
      <c r="C38" s="132" t="s">
        <v>130</v>
      </c>
      <c r="D38" s="126"/>
    </row>
    <row r="39" spans="1:4" ht="15" x14ac:dyDescent="0.25">
      <c r="A39" s="131">
        <v>5</v>
      </c>
      <c r="B39" s="143" t="s">
        <v>131</v>
      </c>
      <c r="C39" s="132" t="s">
        <v>132</v>
      </c>
      <c r="D39" s="126"/>
    </row>
    <row r="40" spans="1:4" ht="15" x14ac:dyDescent="0.25">
      <c r="A40" s="131">
        <v>5</v>
      </c>
      <c r="B40" s="122" t="s">
        <v>133</v>
      </c>
      <c r="C40" s="132" t="s">
        <v>134</v>
      </c>
      <c r="D40" s="126"/>
    </row>
    <row r="41" spans="1:4" ht="15" x14ac:dyDescent="0.25">
      <c r="A41" s="131">
        <v>5</v>
      </c>
      <c r="B41" s="122" t="s">
        <v>137</v>
      </c>
      <c r="C41" s="132" t="s">
        <v>138</v>
      </c>
      <c r="D41" s="126"/>
    </row>
    <row r="42" spans="1:4" ht="15" x14ac:dyDescent="0.25">
      <c r="A42" s="131">
        <v>5</v>
      </c>
      <c r="B42" s="122" t="s">
        <v>139</v>
      </c>
      <c r="C42" s="132" t="s">
        <v>140</v>
      </c>
      <c r="D42" s="126"/>
    </row>
    <row r="43" spans="1:4" ht="15.75" thickBot="1" x14ac:dyDescent="0.3">
      <c r="A43" s="133">
        <v>5</v>
      </c>
      <c r="B43" s="134" t="s">
        <v>149</v>
      </c>
      <c r="C43" s="135" t="s">
        <v>150</v>
      </c>
      <c r="D43" s="126"/>
    </row>
    <row r="44" spans="1:4" s="140" customFormat="1" ht="15" x14ac:dyDescent="0.25">
      <c r="A44" s="128">
        <v>6</v>
      </c>
      <c r="B44" s="129"/>
      <c r="C44" s="130" t="s">
        <v>54</v>
      </c>
      <c r="D44" s="127"/>
    </row>
    <row r="45" spans="1:4" ht="15.75" thickBot="1" x14ac:dyDescent="0.3">
      <c r="A45" s="133">
        <v>6</v>
      </c>
      <c r="B45" s="134" t="s">
        <v>141</v>
      </c>
      <c r="C45" s="135" t="s">
        <v>142</v>
      </c>
      <c r="D45" s="126"/>
    </row>
    <row r="46" spans="1:4" s="140" customFormat="1" ht="15" x14ac:dyDescent="0.25">
      <c r="A46" s="128">
        <v>7</v>
      </c>
      <c r="B46" s="129"/>
      <c r="C46" s="130" t="s">
        <v>55</v>
      </c>
      <c r="D46" s="127"/>
    </row>
    <row r="47" spans="1:4" ht="15.75" thickBot="1" x14ac:dyDescent="0.3">
      <c r="A47" s="133">
        <v>7</v>
      </c>
      <c r="B47" s="134" t="s">
        <v>66</v>
      </c>
      <c r="C47" s="135" t="s">
        <v>67</v>
      </c>
      <c r="D47" s="126"/>
    </row>
    <row r="48" spans="1:4" s="140" customFormat="1" ht="15" x14ac:dyDescent="0.25">
      <c r="A48" s="128">
        <v>8</v>
      </c>
      <c r="B48" s="129"/>
      <c r="C48" s="130" t="s">
        <v>56</v>
      </c>
      <c r="D48" s="127"/>
    </row>
    <row r="49" spans="1:4" ht="15.75" thickBot="1" x14ac:dyDescent="0.3">
      <c r="A49" s="133">
        <v>8</v>
      </c>
      <c r="B49" s="134" t="s">
        <v>82</v>
      </c>
      <c r="C49" s="135" t="s">
        <v>83</v>
      </c>
      <c r="D49" s="126"/>
    </row>
    <row r="50" spans="1:4" s="140" customFormat="1" ht="15" x14ac:dyDescent="0.25">
      <c r="A50" s="128">
        <v>9</v>
      </c>
      <c r="B50" s="129"/>
      <c r="C50" s="130" t="s">
        <v>57</v>
      </c>
      <c r="D50" s="127"/>
    </row>
    <row r="51" spans="1:4" ht="15.75" thickBot="1" x14ac:dyDescent="0.3">
      <c r="A51" s="133">
        <v>9</v>
      </c>
      <c r="B51" s="134" t="s">
        <v>86</v>
      </c>
      <c r="C51" s="135" t="s">
        <v>87</v>
      </c>
      <c r="D51" s="126"/>
    </row>
    <row r="52" spans="1:4" s="140" customFormat="1" ht="15" x14ac:dyDescent="0.25">
      <c r="A52" s="128">
        <v>10</v>
      </c>
      <c r="B52" s="129"/>
      <c r="C52" s="130" t="s">
        <v>58</v>
      </c>
      <c r="D52" s="127"/>
    </row>
    <row r="53" spans="1:4" ht="15.75" thickBot="1" x14ac:dyDescent="0.3">
      <c r="A53" s="133">
        <v>10</v>
      </c>
      <c r="B53" s="134" t="s">
        <v>103</v>
      </c>
      <c r="C53" s="135" t="s">
        <v>104</v>
      </c>
      <c r="D53" s="126"/>
    </row>
    <row r="54" spans="1:4" s="140" customFormat="1" ht="15" x14ac:dyDescent="0.25">
      <c r="A54" s="128">
        <v>11</v>
      </c>
      <c r="B54" s="129"/>
      <c r="C54" s="130" t="s">
        <v>59</v>
      </c>
      <c r="D54" s="127"/>
    </row>
    <row r="55" spans="1:4" ht="15" x14ac:dyDescent="0.25">
      <c r="A55" s="131">
        <v>11</v>
      </c>
      <c r="B55" s="122" t="s">
        <v>143</v>
      </c>
      <c r="C55" s="132" t="s">
        <v>144</v>
      </c>
      <c r="D55" s="126"/>
    </row>
    <row r="56" spans="1:4" ht="15" x14ac:dyDescent="0.25">
      <c r="A56" s="131">
        <v>11</v>
      </c>
      <c r="B56" s="122" t="s">
        <v>145</v>
      </c>
      <c r="C56" s="132" t="s">
        <v>146</v>
      </c>
      <c r="D56" s="126"/>
    </row>
    <row r="57" spans="1:4" ht="15.75" thickBot="1" x14ac:dyDescent="0.3">
      <c r="A57" s="133">
        <v>11</v>
      </c>
      <c r="B57" s="134" t="s">
        <v>147</v>
      </c>
      <c r="C57" s="135" t="s">
        <v>148</v>
      </c>
      <c r="D57" s="126"/>
    </row>
    <row r="58" spans="1:4" s="140" customFormat="1" ht="15" x14ac:dyDescent="0.25">
      <c r="A58" s="128">
        <v>12</v>
      </c>
      <c r="B58" s="129"/>
      <c r="C58" s="130" t="s">
        <v>60</v>
      </c>
      <c r="D58" s="127"/>
    </row>
    <row r="59" spans="1:4" ht="30.75" thickBot="1" x14ac:dyDescent="0.3">
      <c r="A59" s="133">
        <v>12</v>
      </c>
      <c r="B59" s="263" t="s">
        <v>866</v>
      </c>
      <c r="C59" s="135" t="s">
        <v>152</v>
      </c>
      <c r="D59" s="126"/>
    </row>
    <row r="60" spans="1:4" ht="15.75" thickBot="1" x14ac:dyDescent="0.3">
      <c r="A60" s="852" t="s">
        <v>155</v>
      </c>
      <c r="B60" s="853"/>
      <c r="C60" s="854"/>
      <c r="D60" s="144"/>
    </row>
    <row r="61" spans="1:4" ht="15" x14ac:dyDescent="0.25">
      <c r="A61" s="855" t="s">
        <v>156</v>
      </c>
      <c r="B61" s="856"/>
      <c r="C61" s="264" t="s">
        <v>157</v>
      </c>
    </row>
    <row r="62" spans="1:4" ht="15" x14ac:dyDescent="0.25">
      <c r="A62" s="857" t="s">
        <v>158</v>
      </c>
      <c r="B62" s="858"/>
      <c r="C62" s="145" t="s">
        <v>157</v>
      </c>
    </row>
    <row r="63" spans="1:4" ht="15" x14ac:dyDescent="0.25">
      <c r="A63" s="859" t="s">
        <v>159</v>
      </c>
      <c r="B63" s="860"/>
      <c r="C63" s="145" t="s">
        <v>157</v>
      </c>
    </row>
    <row r="64" spans="1:4" ht="13.5" thickBot="1" x14ac:dyDescent="0.25">
      <c r="A64" s="861" t="s">
        <v>867</v>
      </c>
      <c r="B64" s="862"/>
      <c r="C64" s="265" t="s">
        <v>868</v>
      </c>
    </row>
  </sheetData>
  <sheetProtection password="E9DA" sheet="1" objects="1" scenarios="1" selectLockedCells="1"/>
  <mergeCells count="5">
    <mergeCell ref="A60:C60"/>
    <mergeCell ref="A61:B61"/>
    <mergeCell ref="A62:B62"/>
    <mergeCell ref="A63:B63"/>
    <mergeCell ref="A64:B64"/>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3"/>
  </sheetPr>
  <dimension ref="A1:BH248"/>
  <sheetViews>
    <sheetView topLeftCell="AG1" zoomScaleNormal="100" workbookViewId="0">
      <selection activeCell="AZ2" sqref="AZ2"/>
    </sheetView>
  </sheetViews>
  <sheetFormatPr defaultColWidth="11.42578125" defaultRowHeight="12.75" x14ac:dyDescent="0.2"/>
  <cols>
    <col min="1" max="1" width="17.140625" bestFit="1" customWidth="1"/>
    <col min="2" max="2" width="2.7109375" style="37" customWidth="1"/>
    <col min="3" max="3" width="16.140625" customWidth="1"/>
    <col min="4" max="4" width="2.28515625" style="37" customWidth="1"/>
    <col min="5" max="5" width="6.5703125" bestFit="1" customWidth="1"/>
    <col min="6" max="6" width="5" style="192" bestFit="1" customWidth="1"/>
    <col min="7" max="7" width="2.7109375" customWidth="1"/>
    <col min="9" max="9" width="15.140625" customWidth="1"/>
    <col min="10" max="10" width="91.28515625" customWidth="1"/>
    <col min="11" max="11" width="2.7109375" customWidth="1"/>
    <col min="12" max="12" width="22.28515625" bestFit="1" customWidth="1"/>
    <col min="13" max="13" width="8.42578125" bestFit="1" customWidth="1"/>
    <col min="14" max="14" width="2.7109375" customWidth="1"/>
    <col min="15" max="15" width="5.85546875" bestFit="1" customWidth="1"/>
    <col min="16" max="16" width="2.7109375" customWidth="1"/>
    <col min="17" max="17" width="10" customWidth="1"/>
    <col min="18" max="18" width="2.7109375" customWidth="1"/>
    <col min="19" max="19" width="8.7109375" customWidth="1"/>
    <col min="20" max="20" width="3" customWidth="1"/>
    <col min="21" max="21" width="19" bestFit="1" customWidth="1"/>
    <col min="22" max="22" width="3" customWidth="1"/>
    <col min="23" max="23" width="45.5703125" customWidth="1"/>
    <col min="24" max="24" width="3" customWidth="1"/>
    <col min="26" max="26" width="3" style="192" customWidth="1"/>
    <col min="27" max="29" width="9.28515625" customWidth="1"/>
    <col min="30" max="30" width="3.5703125" customWidth="1"/>
    <col min="31" max="33" width="16.7109375" bestFit="1" customWidth="1"/>
    <col min="34" max="34" width="4.42578125" customWidth="1"/>
    <col min="35" max="36" width="7" customWidth="1"/>
    <col min="37" max="37" width="3.85546875" customWidth="1"/>
    <col min="38" max="38" width="20.42578125" bestFit="1" customWidth="1"/>
    <col min="39" max="39" width="4.140625" customWidth="1"/>
    <col min="40" max="40" width="5.28515625" style="192" bestFit="1" customWidth="1"/>
    <col min="41" max="41" width="32" style="192" bestFit="1" customWidth="1"/>
    <col min="42" max="42" width="37.7109375" style="192" customWidth="1"/>
    <col min="43" max="43" width="3.7109375" customWidth="1"/>
    <col min="44" max="44" width="23.5703125" bestFit="1" customWidth="1"/>
    <col min="45" max="45" width="3.28515625" customWidth="1"/>
    <col min="46" max="46" width="18.85546875" bestFit="1" customWidth="1"/>
    <col min="47" max="47" width="14.140625" bestFit="1" customWidth="1"/>
    <col min="48" max="48" width="18.85546875" style="192" bestFit="1" customWidth="1"/>
    <col min="49" max="49" width="6.28515625" bestFit="1" customWidth="1"/>
    <col min="50" max="50" width="3.140625" customWidth="1"/>
    <col min="53" max="53" width="5" style="192" bestFit="1" customWidth="1"/>
    <col min="54" max="54" width="5.85546875" customWidth="1"/>
    <col min="56" max="56" width="7.140625" customWidth="1"/>
    <col min="58" max="58" width="5" bestFit="1" customWidth="1"/>
    <col min="59" max="59" width="3.7109375" customWidth="1"/>
  </cols>
  <sheetData>
    <row r="1" spans="1:60" ht="16.5" customHeight="1" x14ac:dyDescent="0.2">
      <c r="A1" s="31" t="s">
        <v>4</v>
      </c>
      <c r="B1" s="36"/>
      <c r="C1" s="63" t="s">
        <v>23</v>
      </c>
      <c r="D1" s="119"/>
      <c r="E1" s="43" t="s">
        <v>6</v>
      </c>
      <c r="F1" s="43" t="s">
        <v>1178</v>
      </c>
      <c r="H1" s="52" t="s">
        <v>9</v>
      </c>
      <c r="I1" s="56" t="s">
        <v>14</v>
      </c>
      <c r="J1" s="57" t="s">
        <v>15</v>
      </c>
      <c r="L1" s="72" t="s">
        <v>25</v>
      </c>
      <c r="M1" s="73"/>
      <c r="O1" s="78" t="s">
        <v>29</v>
      </c>
      <c r="Q1" s="78" t="s">
        <v>46</v>
      </c>
      <c r="S1" s="78" t="s">
        <v>160</v>
      </c>
      <c r="U1" s="31" t="s">
        <v>3</v>
      </c>
      <c r="W1" s="31" t="s">
        <v>166</v>
      </c>
      <c r="Y1" s="185" t="s">
        <v>170</v>
      </c>
      <c r="AA1" s="863" t="s">
        <v>172</v>
      </c>
      <c r="AB1" s="864"/>
      <c r="AC1" s="865"/>
      <c r="AE1" s="209" t="str">
        <f>Standard1</f>
        <v>EN 9100</v>
      </c>
      <c r="AF1" s="209" t="str">
        <f>Standard2</f>
        <v>EN 9110</v>
      </c>
      <c r="AG1" s="209" t="str">
        <f>Standard3</f>
        <v>EN 9120</v>
      </c>
      <c r="AI1" s="866" t="s">
        <v>173</v>
      </c>
      <c r="AJ1" s="867"/>
      <c r="AL1" s="209" t="s">
        <v>47</v>
      </c>
      <c r="AN1" s="209" t="s">
        <v>178</v>
      </c>
      <c r="AO1" s="209" t="s">
        <v>180</v>
      </c>
      <c r="AP1" s="209" t="s">
        <v>179</v>
      </c>
      <c r="AR1" s="258" t="s">
        <v>863</v>
      </c>
      <c r="AT1" s="209" t="s">
        <v>1163</v>
      </c>
      <c r="AU1" s="209" t="s">
        <v>1164</v>
      </c>
      <c r="AV1" s="209" t="s">
        <v>160</v>
      </c>
      <c r="AW1" s="209" t="s">
        <v>1165</v>
      </c>
      <c r="AY1" s="387" t="s">
        <v>1174</v>
      </c>
      <c r="AZ1" s="388" t="s">
        <v>1175</v>
      </c>
      <c r="BA1" s="414" t="s">
        <v>1178</v>
      </c>
      <c r="BC1" s="388" t="s">
        <v>26</v>
      </c>
      <c r="BE1" s="413" t="s">
        <v>1177</v>
      </c>
      <c r="BF1" s="413" t="s">
        <v>1178</v>
      </c>
      <c r="BH1" s="438" t="s">
        <v>1263</v>
      </c>
    </row>
    <row r="2" spans="1:60" ht="15" customHeight="1" x14ac:dyDescent="0.25">
      <c r="A2" s="33" t="s">
        <v>1363</v>
      </c>
      <c r="B2" s="35"/>
      <c r="C2" s="154" t="str">
        <f>IF(Sprache=DE,"Entwicklung","Design")</f>
        <v>Design</v>
      </c>
      <c r="D2" s="35"/>
      <c r="E2" s="44" t="str">
        <f>IF(Sprache=DE,"Ja","Yes")</f>
        <v>Yes</v>
      </c>
      <c r="F2" s="44">
        <v>1</v>
      </c>
      <c r="H2" s="41" t="s">
        <v>10</v>
      </c>
      <c r="I2" s="53" t="str">
        <f>Ja</f>
        <v>Yes</v>
      </c>
      <c r="J2" s="58" t="s">
        <v>16</v>
      </c>
      <c r="L2" s="90" t="str">
        <f>n_z</f>
        <v>n.a.</v>
      </c>
      <c r="M2" s="91" t="str">
        <f>IF(Sprache=DE,"Separat","Separate")</f>
        <v>Separate</v>
      </c>
      <c r="O2" s="64" t="s">
        <v>27</v>
      </c>
      <c r="Q2" s="124" t="s">
        <v>62</v>
      </c>
      <c r="S2" s="269" t="str">
        <f>IF(Sprache=DE,DE,EN)</f>
        <v>EN</v>
      </c>
      <c r="T2" s="54"/>
      <c r="U2" s="117" t="str">
        <f>IF(Sprache=DE,"Zertifizierung","Certification")</f>
        <v>Certification</v>
      </c>
      <c r="W2" s="157" t="str">
        <f>IF(Sprache=DE,"Nur farbmarkierte Felder - soweit relevant - ausfüllen","Please fill coloured cells - as relevant")</f>
        <v>Please fill coloured cells - as relevant</v>
      </c>
      <c r="Y2" s="186" t="str">
        <f>IF(Sprache=DE,"1. ÜA","1. SA")</f>
        <v>1. SA</v>
      </c>
      <c r="AA2" s="205">
        <f>IF(Auditart1=Zertifizierung,2,IF(Auditart1=Rezertifizierung,4,3))+IF(Ausschluss1=Entwicklung,3,0)</f>
        <v>3</v>
      </c>
      <c r="AB2" s="205">
        <f>IF(Auditart2=Zertifizierung,2,IF(Auditart2=Rezertifizierung,4,3))+IF(Ausschluss2=Entwicklung,3,0)</f>
        <v>3</v>
      </c>
      <c r="AC2" s="205">
        <f>IF(Auditart3=Zertifizierung,2,IF(Auditart3=Rezertifizierung,4,3))+6</f>
        <v>9</v>
      </c>
      <c r="AE2" s="201" t="str">
        <f>IF(ISBLANK(Auditart1),NIL,Auditart1)</f>
        <v>---</v>
      </c>
      <c r="AF2" s="201" t="str">
        <f>IF(ISBLANK(Auditart2),NIL,Auditart2)</f>
        <v>---</v>
      </c>
      <c r="AG2" s="201" t="str">
        <f>IF(ISBLANK(Auditart3),NIL,Auditart3)</f>
        <v>---</v>
      </c>
      <c r="AI2" s="39">
        <v>0</v>
      </c>
      <c r="AJ2" s="40">
        <v>0</v>
      </c>
      <c r="AL2" s="64" t="str">
        <f>IF(Sprache=DE,"Programm bestätigt","Program confirmed")</f>
        <v>Program confirmed</v>
      </c>
      <c r="AN2" s="107" t="s">
        <v>181</v>
      </c>
      <c r="AO2" s="107" t="s">
        <v>182</v>
      </c>
      <c r="AP2" s="107" t="s">
        <v>182</v>
      </c>
      <c r="AR2" s="257" t="str">
        <f>IF(Sprache=DE,"Hauptsitz &amp; Zentralfunktion","Headquarter &amp; Central Function")</f>
        <v>Headquarter &amp; Central Function</v>
      </c>
      <c r="AT2" s="107" t="s">
        <v>869</v>
      </c>
      <c r="AU2" s="107" t="s">
        <v>869</v>
      </c>
      <c r="AV2" s="107" t="str">
        <f t="shared" ref="AV2:AV33" si="0">IF(Sprache=DE,AT2,AU2)</f>
        <v>Afar</v>
      </c>
      <c r="AW2" s="107" t="s">
        <v>870</v>
      </c>
      <c r="AY2" s="415" t="str">
        <f>IF(Sprache=DE,"Niedrig","Low")</f>
        <v>Low</v>
      </c>
      <c r="AZ2" s="389">
        <v>0</v>
      </c>
      <c r="BA2" s="415">
        <v>0</v>
      </c>
      <c r="BC2" s="106" t="s">
        <v>27</v>
      </c>
      <c r="BE2" s="39" t="str">
        <f>IF(Sprache=DE,"Wenige","Few")</f>
        <v>Few</v>
      </c>
      <c r="BF2" s="40">
        <v>0</v>
      </c>
      <c r="BH2" s="415" t="s">
        <v>1264</v>
      </c>
    </row>
    <row r="3" spans="1:60" ht="16.5" customHeight="1" x14ac:dyDescent="0.25">
      <c r="C3" s="65" t="str">
        <f>IF(Sprache=DE,"Keine","None")</f>
        <v>None</v>
      </c>
      <c r="E3" s="45" t="str">
        <f>IF(Sprache=DE,"Nein","No")</f>
        <v>No</v>
      </c>
      <c r="F3" s="45">
        <v>0</v>
      </c>
      <c r="H3" s="54" t="s">
        <v>11</v>
      </c>
      <c r="I3" s="53" t="str">
        <f>Ja</f>
        <v>Yes</v>
      </c>
      <c r="J3" s="58" t="s">
        <v>17</v>
      </c>
      <c r="L3" s="70" t="str">
        <f>"&gt;80%: "&amp;IF(Sprache=DE,"Voll integriert","Fully integrated")</f>
        <v>&gt;80%: Fully integrated</v>
      </c>
      <c r="M3" s="75">
        <v>0.15</v>
      </c>
      <c r="O3" s="77" t="s">
        <v>28</v>
      </c>
      <c r="Q3" s="124" t="s">
        <v>64</v>
      </c>
      <c r="S3" s="77" t="s">
        <v>161</v>
      </c>
      <c r="U3" s="34" t="str">
        <f>IF(Sprache=DE,"Re-Zertifizierung","Recertification")</f>
        <v>Recertification</v>
      </c>
      <c r="Y3" s="186" t="str">
        <f>IF(Sprache=DE,"2. ÜA","2. SA")</f>
        <v>2. SA</v>
      </c>
      <c r="AA3" s="206">
        <f>3+IF(Ausschluss1=Entwicklung,3,0)</f>
        <v>3</v>
      </c>
      <c r="AB3" s="206">
        <f>3+IF(Ausschluss2=Entwicklung,3,0)</f>
        <v>3</v>
      </c>
      <c r="AC3" s="206">
        <v>9</v>
      </c>
      <c r="AE3" s="201" t="str">
        <f>IF(OR(ISBLANK(Auditart1),Auditart1=Transfer3,Auditart1=Transfer2),NIL,IF(Auditart1=Transfer1,SA_2,SA_1))</f>
        <v>---</v>
      </c>
      <c r="AF3" s="201" t="str">
        <f>IF(OR(ISBLANK(Auditart2),Auditart2=Transfer3,Auditart2=Transfer2),NIL,IF(Auditart2=Transfer1,SA_2,SA_1))</f>
        <v>---</v>
      </c>
      <c r="AG3" s="201" t="str">
        <f>IF(OR(ISBLANK(Auditart3),Auditart3=Transfer3,Auditart3=Transfer2),NIL,IF(Auditart3=Transfer1,SA_2,SA_1))</f>
        <v>---</v>
      </c>
      <c r="AI3" s="193">
        <v>1</v>
      </c>
      <c r="AJ3" s="189">
        <v>1</v>
      </c>
      <c r="AL3" s="65" t="str">
        <f>IF(Sprache=DE,"Programm angepasst","Program adapted")</f>
        <v>Program adapted</v>
      </c>
      <c r="AN3" s="107" t="s">
        <v>183</v>
      </c>
      <c r="AO3" s="107" t="s">
        <v>185</v>
      </c>
      <c r="AP3" s="107" t="s">
        <v>184</v>
      </c>
      <c r="AR3" s="257" t="str">
        <f>IF(Sprache=DE,"Zentralfunktion","Central Function")</f>
        <v>Central Function</v>
      </c>
      <c r="AT3" s="107" t="s">
        <v>871</v>
      </c>
      <c r="AU3" s="107" t="s">
        <v>872</v>
      </c>
      <c r="AV3" s="107" t="str">
        <f t="shared" si="0"/>
        <v>Abkhazian</v>
      </c>
      <c r="AW3" s="107" t="s">
        <v>873</v>
      </c>
      <c r="AY3" s="186" t="str">
        <f>IF(Sprache=DE,"Mittel","Medium")</f>
        <v>Medium</v>
      </c>
      <c r="AZ3" s="389">
        <v>0.1</v>
      </c>
      <c r="BA3" s="186">
        <v>1</v>
      </c>
      <c r="BC3" s="391" t="s">
        <v>28</v>
      </c>
      <c r="BE3" s="42" t="str">
        <f>IF(Sprache=DE,"Viele","Many")</f>
        <v>Many</v>
      </c>
      <c r="BF3" s="11">
        <v>1</v>
      </c>
      <c r="BH3" s="157" t="s">
        <v>1265</v>
      </c>
    </row>
    <row r="4" spans="1:60" ht="16.5" customHeight="1" x14ac:dyDescent="0.25">
      <c r="A4" s="31" t="s">
        <v>5</v>
      </c>
      <c r="B4" s="36"/>
      <c r="E4" s="106" t="str">
        <f>IF(Sprache=DE,"n.z.","n.a.")</f>
        <v>n.a.</v>
      </c>
      <c r="F4" s="106">
        <v>0</v>
      </c>
      <c r="H4" s="41" t="s">
        <v>12</v>
      </c>
      <c r="I4" s="53" t="str">
        <f>Nein</f>
        <v>No</v>
      </c>
      <c r="J4" s="58" t="s">
        <v>18</v>
      </c>
      <c r="L4" s="70" t="str">
        <f>"50-80%: "&amp;IF(Sprache=DE,"Teilweise integriert","Partly integrated")</f>
        <v>50-80%: Partly integrated</v>
      </c>
      <c r="M4" s="75">
        <v>0.3</v>
      </c>
      <c r="Q4" s="124" t="s">
        <v>66</v>
      </c>
      <c r="U4" s="402" t="str">
        <f>TransferCB&amp;IF(Sprache=DE," vor 1.ÜA", " to 1.SA")</f>
        <v>Transfer to 1.SA</v>
      </c>
      <c r="Y4" s="33" t="s">
        <v>168</v>
      </c>
      <c r="AA4" s="206">
        <f>Sp1_2</f>
        <v>3</v>
      </c>
      <c r="AB4" s="206">
        <f>SP2_2</f>
        <v>3</v>
      </c>
      <c r="AC4" s="206">
        <f>SP3_2</f>
        <v>9</v>
      </c>
      <c r="AE4" s="201" t="str">
        <f>IF(Daten!AE3=SA_1,SA_2,NIL)</f>
        <v>---</v>
      </c>
      <c r="AF4" s="201" t="str">
        <f>IF(Daten!AF3=SA_1,SA_2,NIL)</f>
        <v>---</v>
      </c>
      <c r="AG4" s="201" t="str">
        <f>IF(Daten!AG3=SA_1,SA_2,NIL)</f>
        <v>---</v>
      </c>
      <c r="AI4" s="193">
        <v>5</v>
      </c>
      <c r="AJ4" s="189">
        <v>1</v>
      </c>
      <c r="AN4" s="107" t="s">
        <v>186</v>
      </c>
      <c r="AO4" s="107" t="s">
        <v>187</v>
      </c>
      <c r="AP4" s="107" t="s">
        <v>187</v>
      </c>
      <c r="AR4" s="257" t="str">
        <f>IF(Sprache=DE,"Hauptsitz","Headquarter")</f>
        <v>Headquarter</v>
      </c>
      <c r="AT4" s="107" t="s">
        <v>874</v>
      </c>
      <c r="AU4" s="107" t="s">
        <v>874</v>
      </c>
      <c r="AV4" s="107" t="str">
        <f t="shared" si="0"/>
        <v>Afrikaans</v>
      </c>
      <c r="AW4" s="107" t="s">
        <v>186</v>
      </c>
      <c r="AY4" s="186" t="str">
        <f>IF(Sprache=DE,"Hoch","High")</f>
        <v>High</v>
      </c>
      <c r="AZ4" s="389">
        <v>0.2</v>
      </c>
      <c r="BA4" s="186">
        <v>2</v>
      </c>
    </row>
    <row r="5" spans="1:60" ht="16.5" customHeight="1" x14ac:dyDescent="0.25">
      <c r="A5" s="439" t="s">
        <v>1366</v>
      </c>
      <c r="B5" s="35"/>
      <c r="H5" s="54" t="s">
        <v>24</v>
      </c>
      <c r="I5" s="55" t="str">
        <f>Nein</f>
        <v>No</v>
      </c>
      <c r="J5" s="58" t="s">
        <v>19</v>
      </c>
      <c r="L5" s="41" t="str">
        <f>"&lt;50%: "&amp;IF(Sprache=DE,"Nicht integriert","Not integrated")</f>
        <v>&lt;50%: Not integrated</v>
      </c>
      <c r="M5" s="74" t="str">
        <f>M2</f>
        <v>Separate</v>
      </c>
      <c r="Q5" s="124" t="s">
        <v>1270</v>
      </c>
      <c r="S5" s="150" t="s">
        <v>45</v>
      </c>
      <c r="U5" s="64" t="str">
        <f>TransferCB&amp;IF(Sprache=DE," vor 2.ÜA", " to 2.SA")</f>
        <v>Transfer to 2.SA</v>
      </c>
      <c r="AI5" s="193">
        <v>10</v>
      </c>
      <c r="AJ5" s="189">
        <v>2</v>
      </c>
      <c r="AN5" s="107" t="s">
        <v>188</v>
      </c>
      <c r="AO5" s="107" t="s">
        <v>190</v>
      </c>
      <c r="AP5" s="107" t="s">
        <v>189</v>
      </c>
      <c r="AR5" s="257" t="str">
        <f>IF(Sprache=DE,"Standort","Site")</f>
        <v>Site</v>
      </c>
      <c r="AT5" s="107" t="s">
        <v>875</v>
      </c>
      <c r="AU5" s="107" t="s">
        <v>876</v>
      </c>
      <c r="AV5" s="107" t="str">
        <f t="shared" si="0"/>
        <v>Amharic</v>
      </c>
      <c r="AW5" s="107" t="s">
        <v>196</v>
      </c>
      <c r="AY5" s="157" t="s">
        <v>1176</v>
      </c>
      <c r="AZ5" s="389">
        <v>1</v>
      </c>
      <c r="BA5" s="157">
        <v>3</v>
      </c>
    </row>
    <row r="6" spans="1:60" ht="16.5" customHeight="1" x14ac:dyDescent="0.25">
      <c r="A6" s="51"/>
      <c r="B6" s="35"/>
      <c r="H6" s="42" t="s">
        <v>13</v>
      </c>
      <c r="I6" s="59" t="str">
        <f>Nein</f>
        <v>No</v>
      </c>
      <c r="J6" s="60" t="s">
        <v>20</v>
      </c>
      <c r="L6" s="71" t="str">
        <f>IF(Sprache=DE,"Kombiniert","Combined")</f>
        <v>Combined</v>
      </c>
      <c r="M6" s="92" t="str">
        <f>M2</f>
        <v>Separate</v>
      </c>
      <c r="Q6" s="124" t="s">
        <v>72</v>
      </c>
      <c r="S6" s="213" t="str">
        <f>IF(Sprache=DE,DE,EN)</f>
        <v>EN</v>
      </c>
      <c r="U6" s="64" t="str">
        <f>TransferCB&amp;IF(Sprache=DE," nach 2.ÜA", " after 2.SA")</f>
        <v>Transfer after 2.SA</v>
      </c>
      <c r="AE6" s="106" t="s">
        <v>21</v>
      </c>
      <c r="AF6" s="223">
        <v>2009</v>
      </c>
      <c r="AG6" s="107">
        <v>2016</v>
      </c>
      <c r="AI6" s="70">
        <v>20</v>
      </c>
      <c r="AJ6" s="211">
        <v>3</v>
      </c>
      <c r="AN6" s="107" t="s">
        <v>191</v>
      </c>
      <c r="AO6" s="107" t="s">
        <v>192</v>
      </c>
      <c r="AP6" s="107" t="s">
        <v>192</v>
      </c>
      <c r="AT6" s="107" t="s">
        <v>877</v>
      </c>
      <c r="AU6" s="107" t="s">
        <v>878</v>
      </c>
      <c r="AV6" s="107" t="str">
        <f t="shared" si="0"/>
        <v>Arabic</v>
      </c>
      <c r="AW6" s="107" t="s">
        <v>204</v>
      </c>
    </row>
    <row r="7" spans="1:60" ht="16.5" customHeight="1" x14ac:dyDescent="0.25">
      <c r="A7" s="31" t="s">
        <v>1362</v>
      </c>
      <c r="C7" s="51"/>
      <c r="Q7" s="124" t="s">
        <v>74</v>
      </c>
      <c r="U7" s="65" t="str">
        <f>IF(Sprache=DE, "Wechsel zum ReZert","Change to ReCert")</f>
        <v>Change to ReCert</v>
      </c>
      <c r="AE7" s="106" t="s">
        <v>22</v>
      </c>
      <c r="AF7" s="223">
        <v>2015</v>
      </c>
      <c r="AG7" s="107">
        <v>2016</v>
      </c>
      <c r="AI7" s="71">
        <v>50</v>
      </c>
      <c r="AJ7" s="212">
        <v>4</v>
      </c>
      <c r="AN7" s="107" t="s">
        <v>193</v>
      </c>
      <c r="AO7" s="107" t="s">
        <v>195</v>
      </c>
      <c r="AP7" s="107" t="s">
        <v>194</v>
      </c>
      <c r="AT7" s="107" t="s">
        <v>879</v>
      </c>
      <c r="AU7" s="107" t="s">
        <v>880</v>
      </c>
      <c r="AV7" s="107" t="str">
        <f t="shared" si="0"/>
        <v>Assamese</v>
      </c>
      <c r="AW7" s="107" t="s">
        <v>207</v>
      </c>
      <c r="AY7" s="871" t="s">
        <v>1179</v>
      </c>
      <c r="AZ7" s="872"/>
      <c r="BA7" s="389">
        <v>0.1</v>
      </c>
      <c r="BB7" s="192"/>
      <c r="BC7" s="192"/>
      <c r="BD7" s="192"/>
    </row>
    <row r="8" spans="1:60" ht="16.5" customHeight="1" x14ac:dyDescent="0.25">
      <c r="A8" s="461" t="s">
        <v>1363</v>
      </c>
      <c r="H8" s="445" t="s">
        <v>1267</v>
      </c>
      <c r="I8" s="445" t="s">
        <v>1266</v>
      </c>
      <c r="Q8" s="124" t="s">
        <v>76</v>
      </c>
      <c r="T8" s="65" t="s">
        <v>169</v>
      </c>
      <c r="Y8" s="192"/>
      <c r="Z8"/>
      <c r="AE8" s="106" t="s">
        <v>8</v>
      </c>
      <c r="AF8" s="223">
        <v>2010</v>
      </c>
      <c r="AG8" s="107">
        <v>2016</v>
      </c>
      <c r="AM8" s="192"/>
      <c r="AN8" s="107" t="s">
        <v>196</v>
      </c>
      <c r="AO8" s="107" t="s">
        <v>198</v>
      </c>
      <c r="AP8" s="107" t="s">
        <v>197</v>
      </c>
      <c r="AT8" s="107" t="s">
        <v>881</v>
      </c>
      <c r="AU8" s="107" t="s">
        <v>881</v>
      </c>
      <c r="AV8" s="107" t="str">
        <f t="shared" si="0"/>
        <v>Aymara</v>
      </c>
      <c r="AW8" s="107" t="s">
        <v>882</v>
      </c>
      <c r="AY8" s="192"/>
      <c r="AZ8" s="192"/>
      <c r="BB8" s="192"/>
      <c r="BC8" s="192"/>
      <c r="BD8" s="192"/>
    </row>
    <row r="9" spans="1:60" ht="16.5" customHeight="1" x14ac:dyDescent="0.25">
      <c r="A9" s="462" t="s">
        <v>1366</v>
      </c>
      <c r="H9" s="107">
        <v>0</v>
      </c>
      <c r="I9" s="107" t="str">
        <f>Rezertifizierung</f>
        <v>Recertification</v>
      </c>
      <c r="Q9" s="124" t="s">
        <v>78</v>
      </c>
      <c r="Y9" s="192"/>
      <c r="Z9"/>
      <c r="AE9" s="461" t="s">
        <v>43</v>
      </c>
      <c r="AF9" s="223">
        <v>2008</v>
      </c>
      <c r="AG9" s="107">
        <v>2015</v>
      </c>
      <c r="AM9" s="192"/>
      <c r="AN9" s="107" t="s">
        <v>199</v>
      </c>
      <c r="AO9" s="107" t="s">
        <v>200</v>
      </c>
      <c r="AP9" s="107" t="s">
        <v>200</v>
      </c>
      <c r="AT9" s="107" t="s">
        <v>883</v>
      </c>
      <c r="AU9" s="107" t="s">
        <v>884</v>
      </c>
      <c r="AV9" s="107" t="str">
        <f t="shared" si="0"/>
        <v>Azerbaijani</v>
      </c>
      <c r="AW9" s="107" t="s">
        <v>221</v>
      </c>
      <c r="AY9" s="871" t="s">
        <v>1181</v>
      </c>
      <c r="AZ9" s="872"/>
      <c r="BA9" s="389">
        <v>0.5</v>
      </c>
      <c r="BB9" s="192"/>
      <c r="BC9" s="192"/>
      <c r="BD9" s="192"/>
    </row>
    <row r="10" spans="1:60" ht="16.5" customHeight="1" x14ac:dyDescent="0.25">
      <c r="A10" s="51"/>
      <c r="B10" s="38"/>
      <c r="H10" s="107">
        <v>1</v>
      </c>
      <c r="I10" s="107" t="str">
        <f>IF(Sprache =DE,"1. Überwachung","1. Surveillance")</f>
        <v>1. Surveillance</v>
      </c>
      <c r="Q10" s="124" t="s">
        <v>80</v>
      </c>
      <c r="Y10" s="192"/>
      <c r="Z10"/>
      <c r="AM10" s="192"/>
      <c r="AN10" s="107" t="s">
        <v>201</v>
      </c>
      <c r="AO10" s="107" t="s">
        <v>203</v>
      </c>
      <c r="AP10" s="107" t="s">
        <v>202</v>
      </c>
      <c r="AT10" s="107" t="s">
        <v>885</v>
      </c>
      <c r="AU10" s="107" t="s">
        <v>886</v>
      </c>
      <c r="AV10" s="107" t="str">
        <f t="shared" si="0"/>
        <v>Bashkir</v>
      </c>
      <c r="AW10" s="107" t="s">
        <v>224</v>
      </c>
      <c r="AY10" s="192"/>
      <c r="AZ10" s="192"/>
      <c r="BB10" s="192"/>
      <c r="BC10" s="192"/>
      <c r="BD10" s="192"/>
    </row>
    <row r="11" spans="1:60" ht="16.5" customHeight="1" x14ac:dyDescent="0.25">
      <c r="A11" s="502" t="s">
        <v>1365</v>
      </c>
      <c r="B11" s="38"/>
      <c r="H11" s="107">
        <v>2</v>
      </c>
      <c r="I11" s="107" t="str">
        <f>IF(Sprache =DE,"2. Überwachung","2. Surveillance")</f>
        <v>2. Surveillance</v>
      </c>
      <c r="Q11" s="124" t="s">
        <v>82</v>
      </c>
      <c r="Y11" s="192"/>
      <c r="Z11"/>
      <c r="AM11" s="192"/>
      <c r="AN11" s="107" t="s">
        <v>204</v>
      </c>
      <c r="AO11" s="107" t="s">
        <v>206</v>
      </c>
      <c r="AP11" s="107" t="s">
        <v>205</v>
      </c>
      <c r="AT11" s="107" t="s">
        <v>887</v>
      </c>
      <c r="AU11" s="107" t="s">
        <v>888</v>
      </c>
      <c r="AV11" s="107" t="str">
        <f t="shared" si="0"/>
        <v>Belarusian</v>
      </c>
      <c r="AW11" s="107" t="s">
        <v>231</v>
      </c>
      <c r="AY11" s="868" t="s">
        <v>1180</v>
      </c>
      <c r="AZ11" s="869"/>
      <c r="BA11" s="869"/>
      <c r="BB11" s="869"/>
      <c r="BC11" s="869"/>
      <c r="BD11" s="870"/>
    </row>
    <row r="12" spans="1:60" ht="16.5" customHeight="1" x14ac:dyDescent="0.25">
      <c r="A12" s="107">
        <v>0.5</v>
      </c>
      <c r="B12" s="38"/>
      <c r="H12" s="107">
        <v>3</v>
      </c>
      <c r="I12" s="106" t="str">
        <f>IF(Sprache=DE,"Sonderaudit","Special audit")</f>
        <v>Special audit</v>
      </c>
      <c r="Q12" s="124" t="s">
        <v>84</v>
      </c>
      <c r="AN12" s="107" t="s">
        <v>207</v>
      </c>
      <c r="AO12" s="107" t="s">
        <v>209</v>
      </c>
      <c r="AP12" s="107" t="s">
        <v>208</v>
      </c>
      <c r="AT12" s="107" t="s">
        <v>889</v>
      </c>
      <c r="AU12" s="107" t="s">
        <v>890</v>
      </c>
      <c r="AV12" s="107" t="str">
        <f t="shared" si="0"/>
        <v>Bulgarian</v>
      </c>
      <c r="AW12" s="107" t="s">
        <v>236</v>
      </c>
      <c r="AY12" s="39">
        <f>VLOOKUP(Stammdaten!D52,$AY$1:$BA$5,3,FALSE)</f>
        <v>0</v>
      </c>
      <c r="AZ12" s="320">
        <f>VLOOKUP(Stammdaten!F52,$BE$2:$BF$3,2,FALSE)</f>
        <v>0</v>
      </c>
      <c r="BA12" s="320">
        <f>VLOOKUP(Stammdaten!G52,$BE$2:$BF$3,2,FALSE)</f>
        <v>0</v>
      </c>
      <c r="BB12" s="320">
        <f>VLOOKUP(Stammdaten!H52,$E$2:$F$3,2,FALSE)</f>
        <v>0</v>
      </c>
      <c r="BC12" s="320">
        <f>VLOOKUP(Stammdaten!J52,$E$2:$F$3,2,FALSE)</f>
        <v>0</v>
      </c>
      <c r="BD12" s="417">
        <f>MIN(SUM(AY12:BC12)*ZuschlagproPunkt,MaxZuschlag)</f>
        <v>0</v>
      </c>
    </row>
    <row r="13" spans="1:60" ht="16.5" customHeight="1" x14ac:dyDescent="0.25">
      <c r="A13" s="107">
        <v>0.25</v>
      </c>
      <c r="B13" s="38"/>
      <c r="Q13" s="124" t="s">
        <v>86</v>
      </c>
      <c r="AN13" s="107" t="s">
        <v>210</v>
      </c>
      <c r="AO13" s="107" t="s">
        <v>212</v>
      </c>
      <c r="AP13" s="107" t="s">
        <v>211</v>
      </c>
      <c r="AT13" s="107" t="s">
        <v>891</v>
      </c>
      <c r="AU13" s="107" t="s">
        <v>892</v>
      </c>
      <c r="AV13" s="107" t="str">
        <f t="shared" si="0"/>
        <v>Bihari</v>
      </c>
      <c r="AW13" s="107" t="s">
        <v>239</v>
      </c>
      <c r="AY13" s="193">
        <f>VLOOKUP(Stammdaten!D53,$AY$1:$BA$5,3,FALSE)</f>
        <v>0</v>
      </c>
      <c r="AZ13" s="188">
        <f>VLOOKUP(Stammdaten!F53,$BE$2:$BF$3,2,FALSE)</f>
        <v>0</v>
      </c>
      <c r="BA13" s="188">
        <f>VLOOKUP(Stammdaten!G53,$BE$2:$BF$3,2,FALSE)</f>
        <v>0</v>
      </c>
      <c r="BB13" s="188">
        <f>VLOOKUP(Stammdaten!H53,$E$2:$F$3,2,FALSE)</f>
        <v>0</v>
      </c>
      <c r="BC13" s="188">
        <f>VLOOKUP(Stammdaten!J53,$E$2:$F$3,2,FALSE)</f>
        <v>0</v>
      </c>
      <c r="BD13" s="416">
        <f>MIN(SUM(AY13:BC13)*ZuschlagproPunkt,MaxZuschlag)</f>
        <v>0</v>
      </c>
    </row>
    <row r="14" spans="1:60" ht="16.5" customHeight="1" x14ac:dyDescent="0.25">
      <c r="A14" s="503">
        <v>0.25</v>
      </c>
      <c r="B14" s="38"/>
      <c r="Q14" s="124" t="s">
        <v>88</v>
      </c>
      <c r="AN14" s="107" t="s">
        <v>213</v>
      </c>
      <c r="AO14" s="107" t="s">
        <v>215</v>
      </c>
      <c r="AP14" s="107" t="s">
        <v>214</v>
      </c>
      <c r="AT14" s="107" t="s">
        <v>893</v>
      </c>
      <c r="AU14" s="107" t="s">
        <v>894</v>
      </c>
      <c r="AV14" s="107" t="str">
        <f t="shared" si="0"/>
        <v>Bislama</v>
      </c>
      <c r="AW14" s="107" t="s">
        <v>241</v>
      </c>
      <c r="AY14" s="42">
        <f>VLOOKUP(Stammdaten!D54,$AY$1:$BA$5,3,FALSE)</f>
        <v>0</v>
      </c>
      <c r="AZ14" s="190">
        <f>VLOOKUP(Stammdaten!F54,$BE$2:$BF$3,2,FALSE)</f>
        <v>0</v>
      </c>
      <c r="BA14" s="190">
        <f>VLOOKUP(Stammdaten!G54,$BE$2:$BF$3,2,FALSE)</f>
        <v>0</v>
      </c>
      <c r="BB14" s="190">
        <f>VLOOKUP(Stammdaten!H54,$E$2:$F$3,2,FALSE)</f>
        <v>0</v>
      </c>
      <c r="BC14" s="190">
        <f>VLOOKUP(Stammdaten!J54,$E$2:$F$3,2,FALSE)</f>
        <v>0</v>
      </c>
      <c r="BD14" s="418">
        <f>MIN(SUM(AY14:BC14)*ZuschlagproPunkt,MaxZuschlag)</f>
        <v>0</v>
      </c>
    </row>
    <row r="15" spans="1:60" ht="16.5" customHeight="1" x14ac:dyDescent="0.25">
      <c r="A15" s="107">
        <v>0.25</v>
      </c>
      <c r="B15" s="38"/>
      <c r="C15" s="51"/>
      <c r="Q15" s="124" t="s">
        <v>90</v>
      </c>
      <c r="AN15" s="107" t="s">
        <v>216</v>
      </c>
      <c r="AO15" s="107" t="s">
        <v>217</v>
      </c>
      <c r="AP15" s="107" t="s">
        <v>217</v>
      </c>
      <c r="AT15" s="107" t="s">
        <v>895</v>
      </c>
      <c r="AU15" s="107" t="s">
        <v>896</v>
      </c>
      <c r="AV15" s="107" t="str">
        <f t="shared" si="0"/>
        <v>Bengali</v>
      </c>
      <c r="AW15" s="107" t="s">
        <v>248</v>
      </c>
    </row>
    <row r="16" spans="1:60" ht="16.5" customHeight="1" x14ac:dyDescent="0.25">
      <c r="A16" s="107">
        <v>0.75</v>
      </c>
      <c r="B16" s="38"/>
      <c r="C16" s="51"/>
      <c r="Q16" s="124" t="s">
        <v>92</v>
      </c>
      <c r="AN16" s="107" t="s">
        <v>218</v>
      </c>
      <c r="AO16" s="107" t="s">
        <v>220</v>
      </c>
      <c r="AP16" s="107" t="s">
        <v>219</v>
      </c>
      <c r="AT16" s="107" t="s">
        <v>897</v>
      </c>
      <c r="AU16" s="107" t="s">
        <v>898</v>
      </c>
      <c r="AV16" s="107" t="str">
        <f t="shared" si="0"/>
        <v>Tibetan</v>
      </c>
      <c r="AW16" s="107" t="s">
        <v>250</v>
      </c>
    </row>
    <row r="17" spans="2:49" ht="16.5" customHeight="1" x14ac:dyDescent="0.25">
      <c r="B17" s="38"/>
      <c r="C17" s="51"/>
      <c r="Q17" s="124" t="s">
        <v>94</v>
      </c>
      <c r="AN17" s="107" t="s">
        <v>221</v>
      </c>
      <c r="AO17" s="107" t="s">
        <v>223</v>
      </c>
      <c r="AP17" s="107" t="s">
        <v>222</v>
      </c>
      <c r="AT17" s="107" t="s">
        <v>899</v>
      </c>
      <c r="AU17" s="107" t="s">
        <v>900</v>
      </c>
      <c r="AV17" s="107" t="str">
        <f t="shared" si="0"/>
        <v>Breton</v>
      </c>
      <c r="AW17" s="107" t="s">
        <v>256</v>
      </c>
    </row>
    <row r="18" spans="2:49" ht="16.5" customHeight="1" x14ac:dyDescent="0.25">
      <c r="Q18" s="124" t="s">
        <v>1269</v>
      </c>
      <c r="AN18" s="107" t="s">
        <v>224</v>
      </c>
      <c r="AO18" s="107" t="s">
        <v>226</v>
      </c>
      <c r="AP18" s="107" t="s">
        <v>225</v>
      </c>
      <c r="AT18" s="107" t="s">
        <v>901</v>
      </c>
      <c r="AU18" s="107" t="s">
        <v>902</v>
      </c>
      <c r="AV18" s="107" t="str">
        <f t="shared" si="0"/>
        <v>Catalan</v>
      </c>
      <c r="AW18" s="107" t="s">
        <v>273</v>
      </c>
    </row>
    <row r="19" spans="2:49" ht="15" x14ac:dyDescent="0.25">
      <c r="Q19" s="454" t="s">
        <v>865</v>
      </c>
      <c r="AN19" s="107" t="s">
        <v>227</v>
      </c>
      <c r="AO19" s="107" t="s">
        <v>228</v>
      </c>
      <c r="AP19" s="107" t="s">
        <v>228</v>
      </c>
      <c r="AT19" s="107" t="s">
        <v>903</v>
      </c>
      <c r="AU19" s="107" t="s">
        <v>904</v>
      </c>
      <c r="AV19" s="107" t="str">
        <f t="shared" si="0"/>
        <v>Corsican</v>
      </c>
      <c r="AW19" s="107" t="s">
        <v>304</v>
      </c>
    </row>
    <row r="20" spans="2:49" ht="15" x14ac:dyDescent="0.25">
      <c r="Q20" s="124" t="s">
        <v>101</v>
      </c>
      <c r="AN20" s="107" t="s">
        <v>229</v>
      </c>
      <c r="AO20" s="107" t="s">
        <v>230</v>
      </c>
      <c r="AP20" s="107" t="s">
        <v>230</v>
      </c>
      <c r="AT20" s="107" t="s">
        <v>905</v>
      </c>
      <c r="AU20" s="107" t="s">
        <v>906</v>
      </c>
      <c r="AV20" s="107" t="str">
        <f t="shared" si="0"/>
        <v>Czech</v>
      </c>
      <c r="AW20" s="107" t="s">
        <v>907</v>
      </c>
    </row>
    <row r="21" spans="2:49" ht="15" x14ac:dyDescent="0.25">
      <c r="Q21" s="124" t="s">
        <v>103</v>
      </c>
      <c r="AN21" s="107" t="s">
        <v>231</v>
      </c>
      <c r="AO21" s="107" t="s">
        <v>233</v>
      </c>
      <c r="AP21" s="107" t="s">
        <v>232</v>
      </c>
      <c r="AT21" s="107" t="s">
        <v>908</v>
      </c>
      <c r="AU21" s="107" t="s">
        <v>909</v>
      </c>
      <c r="AV21" s="107" t="str">
        <f t="shared" si="0"/>
        <v>Welsh</v>
      </c>
      <c r="AW21" s="107" t="s">
        <v>319</v>
      </c>
    </row>
    <row r="22" spans="2:49" ht="15" x14ac:dyDescent="0.25">
      <c r="Q22" s="124" t="s">
        <v>105</v>
      </c>
      <c r="AN22" s="107" t="s">
        <v>234</v>
      </c>
      <c r="AO22" s="107" t="s">
        <v>235</v>
      </c>
      <c r="AP22" s="107" t="s">
        <v>235</v>
      </c>
      <c r="AT22" s="107" t="s">
        <v>910</v>
      </c>
      <c r="AU22" s="107" t="s">
        <v>911</v>
      </c>
      <c r="AV22" s="107" t="str">
        <f t="shared" si="0"/>
        <v>Danish</v>
      </c>
      <c r="AW22" s="107" t="s">
        <v>912</v>
      </c>
    </row>
    <row r="23" spans="2:49" ht="15" x14ac:dyDescent="0.25">
      <c r="Q23" s="124" t="s">
        <v>107</v>
      </c>
      <c r="AN23" s="107" t="s">
        <v>236</v>
      </c>
      <c r="AO23" s="107" t="s">
        <v>238</v>
      </c>
      <c r="AP23" s="107" t="s">
        <v>237</v>
      </c>
      <c r="AT23" s="107" t="s">
        <v>913</v>
      </c>
      <c r="AU23" s="107" t="s">
        <v>914</v>
      </c>
      <c r="AV23" s="107" t="str">
        <f t="shared" si="0"/>
        <v>German</v>
      </c>
      <c r="AW23" s="107" t="s">
        <v>45</v>
      </c>
    </row>
    <row r="24" spans="2:49" ht="15" x14ac:dyDescent="0.25">
      <c r="Q24" s="124" t="s">
        <v>109</v>
      </c>
      <c r="AN24" s="107" t="s">
        <v>239</v>
      </c>
      <c r="AO24" s="107" t="s">
        <v>240</v>
      </c>
      <c r="AP24" s="107" t="s">
        <v>240</v>
      </c>
      <c r="AT24" s="107" t="s">
        <v>915</v>
      </c>
      <c r="AU24" s="107" t="s">
        <v>916</v>
      </c>
      <c r="AV24" s="107" t="str">
        <f t="shared" si="0"/>
        <v>Dzongkha</v>
      </c>
      <c r="AW24" s="107" t="s">
        <v>338</v>
      </c>
    </row>
    <row r="25" spans="2:49" ht="15" x14ac:dyDescent="0.25">
      <c r="Q25" s="124" t="s">
        <v>111</v>
      </c>
      <c r="AN25" s="107" t="s">
        <v>241</v>
      </c>
      <c r="AO25" s="107" t="s">
        <v>242</v>
      </c>
      <c r="AP25" s="107" t="s">
        <v>242</v>
      </c>
      <c r="AT25" s="107" t="s">
        <v>917</v>
      </c>
      <c r="AU25" s="107" t="s">
        <v>918</v>
      </c>
      <c r="AV25" s="107" t="str">
        <f t="shared" si="0"/>
        <v>Greek</v>
      </c>
      <c r="AW25" s="107" t="s">
        <v>919</v>
      </c>
    </row>
    <row r="26" spans="2:49" ht="15" x14ac:dyDescent="0.25">
      <c r="Q26" s="124" t="s">
        <v>113</v>
      </c>
      <c r="AN26" s="107" t="s">
        <v>243</v>
      </c>
      <c r="AO26" s="107" t="s">
        <v>244</v>
      </c>
      <c r="AP26" s="107" t="s">
        <v>244</v>
      </c>
      <c r="AT26" s="107" t="s">
        <v>920</v>
      </c>
      <c r="AU26" s="107" t="s">
        <v>921</v>
      </c>
      <c r="AV26" s="107" t="str">
        <f t="shared" si="0"/>
        <v>English</v>
      </c>
      <c r="AW26" s="107" t="s">
        <v>161</v>
      </c>
    </row>
    <row r="27" spans="2:49" ht="15" x14ac:dyDescent="0.25">
      <c r="Q27" s="124" t="s">
        <v>115</v>
      </c>
      <c r="AN27" s="107" t="s">
        <v>245</v>
      </c>
      <c r="AO27" s="107" t="s">
        <v>247</v>
      </c>
      <c r="AP27" s="107" t="s">
        <v>246</v>
      </c>
      <c r="AT27" s="107" t="s">
        <v>922</v>
      </c>
      <c r="AU27" s="107" t="s">
        <v>922</v>
      </c>
      <c r="AV27" s="107" t="str">
        <f t="shared" si="0"/>
        <v>Esperanto</v>
      </c>
      <c r="AW27" s="107" t="s">
        <v>923</v>
      </c>
    </row>
    <row r="28" spans="2:49" ht="15" x14ac:dyDescent="0.25">
      <c r="Q28" s="124" t="s">
        <v>117</v>
      </c>
      <c r="AN28" s="107" t="s">
        <v>248</v>
      </c>
      <c r="AO28" s="107" t="s">
        <v>249</v>
      </c>
      <c r="AP28" s="107" t="s">
        <v>249</v>
      </c>
      <c r="AT28" s="107" t="s">
        <v>924</v>
      </c>
      <c r="AU28" s="107" t="s">
        <v>925</v>
      </c>
      <c r="AV28" s="107" t="str">
        <f t="shared" si="0"/>
        <v>Spanish</v>
      </c>
      <c r="AW28" s="107" t="s">
        <v>354</v>
      </c>
    </row>
    <row r="29" spans="2:49" ht="15" x14ac:dyDescent="0.25">
      <c r="Q29" s="124" t="s">
        <v>119</v>
      </c>
      <c r="AN29" s="107" t="s">
        <v>250</v>
      </c>
      <c r="AO29" s="107" t="s">
        <v>252</v>
      </c>
      <c r="AP29" s="107" t="s">
        <v>251</v>
      </c>
      <c r="AT29" s="107" t="s">
        <v>926</v>
      </c>
      <c r="AU29" s="107" t="s">
        <v>927</v>
      </c>
      <c r="AV29" s="107" t="str">
        <f t="shared" si="0"/>
        <v>Estonian</v>
      </c>
      <c r="AW29" s="107" t="s">
        <v>357</v>
      </c>
    </row>
    <row r="30" spans="2:49" ht="15" x14ac:dyDescent="0.25">
      <c r="Q30" s="124" t="s">
        <v>121</v>
      </c>
      <c r="AN30" s="107" t="s">
        <v>253</v>
      </c>
      <c r="AO30" s="107" t="s">
        <v>255</v>
      </c>
      <c r="AP30" s="107" t="s">
        <v>254</v>
      </c>
      <c r="AT30" s="107" t="s">
        <v>928</v>
      </c>
      <c r="AU30" s="107" t="s">
        <v>929</v>
      </c>
      <c r="AV30" s="107" t="str">
        <f t="shared" si="0"/>
        <v>Basque</v>
      </c>
      <c r="AW30" s="107" t="s">
        <v>930</v>
      </c>
    </row>
    <row r="31" spans="2:49" ht="15" x14ac:dyDescent="0.25">
      <c r="Q31" s="124" t="s">
        <v>123</v>
      </c>
      <c r="AN31" s="107" t="s">
        <v>256</v>
      </c>
      <c r="AO31" s="107" t="s">
        <v>258</v>
      </c>
      <c r="AP31" s="107" t="s">
        <v>257</v>
      </c>
      <c r="AT31" s="107" t="s">
        <v>931</v>
      </c>
      <c r="AU31" s="107" t="s">
        <v>932</v>
      </c>
      <c r="AV31" s="107" t="str">
        <f t="shared" si="0"/>
        <v>Persian</v>
      </c>
      <c r="AW31" s="107" t="s">
        <v>933</v>
      </c>
    </row>
    <row r="32" spans="2:49" ht="15" x14ac:dyDescent="0.25">
      <c r="Q32" s="124" t="s">
        <v>125</v>
      </c>
      <c r="AN32" s="107" t="s">
        <v>259</v>
      </c>
      <c r="AO32" s="107" t="s">
        <v>260</v>
      </c>
      <c r="AP32" s="107" t="s">
        <v>260</v>
      </c>
      <c r="AT32" s="107" t="s">
        <v>934</v>
      </c>
      <c r="AU32" s="107" t="s">
        <v>935</v>
      </c>
      <c r="AV32" s="107" t="str">
        <f t="shared" si="0"/>
        <v>Finnish</v>
      </c>
      <c r="AW32" s="107" t="s">
        <v>360</v>
      </c>
    </row>
    <row r="33" spans="17:49" ht="15" x14ac:dyDescent="0.25">
      <c r="Q33" s="124" t="s">
        <v>127</v>
      </c>
      <c r="AN33" s="107" t="s">
        <v>261</v>
      </c>
      <c r="AO33" s="107" t="s">
        <v>262</v>
      </c>
      <c r="AP33" s="107" t="s">
        <v>262</v>
      </c>
      <c r="AT33" s="107" t="s">
        <v>364</v>
      </c>
      <c r="AU33" s="107" t="s">
        <v>936</v>
      </c>
      <c r="AV33" s="107" t="str">
        <f t="shared" si="0"/>
        <v>Fijian</v>
      </c>
      <c r="AW33" s="107" t="s">
        <v>363</v>
      </c>
    </row>
    <row r="34" spans="17:49" ht="15" x14ac:dyDescent="0.25">
      <c r="Q34" s="124" t="s">
        <v>129</v>
      </c>
      <c r="AN34" s="107" t="s">
        <v>263</v>
      </c>
      <c r="AO34" s="107" t="s">
        <v>265</v>
      </c>
      <c r="AP34" s="107" t="s">
        <v>264</v>
      </c>
      <c r="AT34" s="107" t="s">
        <v>937</v>
      </c>
      <c r="AU34" s="107" t="s">
        <v>938</v>
      </c>
      <c r="AV34" s="107" t="str">
        <f t="shared" ref="AV34:AV65" si="1">IF(Sprache=DE,AT34,AU34)</f>
        <v>Faroese</v>
      </c>
      <c r="AW34" s="107" t="s">
        <v>372</v>
      </c>
    </row>
    <row r="35" spans="17:49" ht="15" x14ac:dyDescent="0.25">
      <c r="Q35" s="124" t="s">
        <v>131</v>
      </c>
      <c r="AN35" s="107" t="s">
        <v>266</v>
      </c>
      <c r="AO35" s="107" t="s">
        <v>267</v>
      </c>
      <c r="AP35" s="107" t="s">
        <v>267</v>
      </c>
      <c r="AT35" s="107" t="s">
        <v>939</v>
      </c>
      <c r="AU35" s="107" t="s">
        <v>940</v>
      </c>
      <c r="AV35" s="107" t="str">
        <f t="shared" si="1"/>
        <v>French</v>
      </c>
      <c r="AW35" s="107" t="s">
        <v>375</v>
      </c>
    </row>
    <row r="36" spans="17:49" ht="15" x14ac:dyDescent="0.25">
      <c r="Q36" s="124" t="s">
        <v>133</v>
      </c>
      <c r="AN36" s="107" t="s">
        <v>268</v>
      </c>
      <c r="AO36" s="107" t="s">
        <v>270</v>
      </c>
      <c r="AP36" s="107" t="s">
        <v>269</v>
      </c>
      <c r="AT36" s="107" t="s">
        <v>941</v>
      </c>
      <c r="AU36" s="107" t="s">
        <v>942</v>
      </c>
      <c r="AV36" s="107" t="str">
        <f t="shared" si="1"/>
        <v>Western Frisian</v>
      </c>
      <c r="AW36" s="107" t="s">
        <v>943</v>
      </c>
    </row>
    <row r="37" spans="17:49" ht="15" x14ac:dyDescent="0.25">
      <c r="Q37" s="124" t="s">
        <v>135</v>
      </c>
      <c r="AN37" s="107" t="s">
        <v>271</v>
      </c>
      <c r="AO37" s="107" t="s">
        <v>272</v>
      </c>
      <c r="AP37" s="107" t="s">
        <v>272</v>
      </c>
      <c r="AT37" s="107" t="s">
        <v>944</v>
      </c>
      <c r="AU37" s="107" t="s">
        <v>945</v>
      </c>
      <c r="AV37" s="107" t="str">
        <f t="shared" si="1"/>
        <v>Irish</v>
      </c>
      <c r="AW37" s="107" t="s">
        <v>378</v>
      </c>
    </row>
    <row r="38" spans="17:49" ht="15" x14ac:dyDescent="0.25">
      <c r="Q38" s="124" t="s">
        <v>137</v>
      </c>
      <c r="AN38" s="107" t="s">
        <v>273</v>
      </c>
      <c r="AO38" s="107" t="s">
        <v>275</v>
      </c>
      <c r="AP38" s="107" t="s">
        <v>274</v>
      </c>
      <c r="AT38" s="107" t="s">
        <v>946</v>
      </c>
      <c r="AU38" s="107" t="s">
        <v>947</v>
      </c>
      <c r="AV38" s="107" t="str">
        <f t="shared" si="1"/>
        <v>Scottish Gaelic</v>
      </c>
      <c r="AW38" s="107" t="s">
        <v>384</v>
      </c>
    </row>
    <row r="39" spans="17:49" ht="15" x14ac:dyDescent="0.25">
      <c r="Q39" s="124" t="s">
        <v>139</v>
      </c>
      <c r="AN39" s="107" t="s">
        <v>276</v>
      </c>
      <c r="AO39" s="107" t="s">
        <v>278</v>
      </c>
      <c r="AP39" s="107" t="s">
        <v>277</v>
      </c>
      <c r="AT39" s="107" t="s">
        <v>948</v>
      </c>
      <c r="AU39" s="107" t="s">
        <v>949</v>
      </c>
      <c r="AV39" s="107" t="str">
        <f t="shared" si="1"/>
        <v>Galician</v>
      </c>
      <c r="AW39" s="107" t="s">
        <v>398</v>
      </c>
    </row>
    <row r="40" spans="17:49" ht="15" x14ac:dyDescent="0.25">
      <c r="Q40" s="124" t="s">
        <v>141</v>
      </c>
      <c r="AN40" s="107" t="s">
        <v>279</v>
      </c>
      <c r="AO40" s="107" t="s">
        <v>281</v>
      </c>
      <c r="AP40" s="107" t="s">
        <v>280</v>
      </c>
      <c r="AT40" s="107" t="s">
        <v>950</v>
      </c>
      <c r="AU40" s="107" t="s">
        <v>950</v>
      </c>
      <c r="AV40" s="107" t="str">
        <f t="shared" si="1"/>
        <v>Guarani</v>
      </c>
      <c r="AW40" s="107" t="s">
        <v>403</v>
      </c>
    </row>
    <row r="41" spans="17:49" ht="15" x14ac:dyDescent="0.25">
      <c r="Q41" s="124" t="s">
        <v>143</v>
      </c>
      <c r="AN41" s="107" t="s">
        <v>282</v>
      </c>
      <c r="AO41" s="107" t="s">
        <v>284</v>
      </c>
      <c r="AP41" s="107" t="s">
        <v>283</v>
      </c>
      <c r="AT41" s="107" t="s">
        <v>951</v>
      </c>
      <c r="AU41" s="107" t="s">
        <v>952</v>
      </c>
      <c r="AV41" s="107" t="str">
        <f t="shared" si="1"/>
        <v>Gujarati</v>
      </c>
      <c r="AW41" s="107" t="s">
        <v>418</v>
      </c>
    </row>
    <row r="42" spans="17:49" ht="15" x14ac:dyDescent="0.25">
      <c r="Q42" s="124" t="s">
        <v>145</v>
      </c>
      <c r="AN42" s="107" t="s">
        <v>285</v>
      </c>
      <c r="AO42" s="107" t="s">
        <v>287</v>
      </c>
      <c r="AP42" s="107" t="s">
        <v>286</v>
      </c>
      <c r="AT42" s="107" t="s">
        <v>953</v>
      </c>
      <c r="AU42" s="107" t="s">
        <v>954</v>
      </c>
      <c r="AV42" s="107" t="str">
        <f t="shared" si="1"/>
        <v>Hausa</v>
      </c>
      <c r="AW42" s="107" t="s">
        <v>955</v>
      </c>
    </row>
    <row r="43" spans="17:49" ht="15" x14ac:dyDescent="0.25">
      <c r="Q43" s="124" t="s">
        <v>147</v>
      </c>
      <c r="AN43" s="107" t="s">
        <v>288</v>
      </c>
      <c r="AO43" s="107" t="s">
        <v>290</v>
      </c>
      <c r="AP43" s="107" t="s">
        <v>289</v>
      </c>
      <c r="AT43" s="107" t="s">
        <v>956</v>
      </c>
      <c r="AU43" s="107" t="s">
        <v>957</v>
      </c>
      <c r="AV43" s="107" t="str">
        <f t="shared" si="1"/>
        <v>Hebrew</v>
      </c>
      <c r="AW43" s="107" t="s">
        <v>958</v>
      </c>
    </row>
    <row r="44" spans="17:49" ht="15" x14ac:dyDescent="0.25">
      <c r="Q44" s="125" t="s">
        <v>149</v>
      </c>
      <c r="AN44" s="107" t="s">
        <v>291</v>
      </c>
      <c r="AO44" s="107" t="s">
        <v>293</v>
      </c>
      <c r="AP44" s="107" t="s">
        <v>292</v>
      </c>
      <c r="AT44" s="107" t="s">
        <v>959</v>
      </c>
      <c r="AU44" s="107" t="s">
        <v>959</v>
      </c>
      <c r="AV44" s="107" t="str">
        <f t="shared" si="1"/>
        <v>Hindi</v>
      </c>
      <c r="AW44" s="107" t="s">
        <v>960</v>
      </c>
    </row>
    <row r="45" spans="17:49" ht="15" x14ac:dyDescent="0.25">
      <c r="Q45" s="160" t="s">
        <v>168</v>
      </c>
      <c r="AN45" s="107" t="s">
        <v>294</v>
      </c>
      <c r="AO45" s="107" t="s">
        <v>296</v>
      </c>
      <c r="AP45" s="107" t="s">
        <v>295</v>
      </c>
      <c r="AT45" s="107" t="s">
        <v>961</v>
      </c>
      <c r="AU45" s="107" t="s">
        <v>962</v>
      </c>
      <c r="AV45" s="107" t="str">
        <f t="shared" si="1"/>
        <v>Croatian</v>
      </c>
      <c r="AW45" s="107" t="s">
        <v>432</v>
      </c>
    </row>
    <row r="46" spans="17:49" x14ac:dyDescent="0.2">
      <c r="AN46" s="107" t="s">
        <v>297</v>
      </c>
      <c r="AO46" s="107" t="s">
        <v>298</v>
      </c>
      <c r="AP46" s="107" t="s">
        <v>298</v>
      </c>
      <c r="AT46" s="107" t="s">
        <v>963</v>
      </c>
      <c r="AU46" s="107" t="s">
        <v>964</v>
      </c>
      <c r="AV46" s="107" t="str">
        <f t="shared" si="1"/>
        <v>Hungarian</v>
      </c>
      <c r="AW46" s="107" t="s">
        <v>437</v>
      </c>
    </row>
    <row r="47" spans="17:49" x14ac:dyDescent="0.2">
      <c r="AN47" s="107" t="s">
        <v>299</v>
      </c>
      <c r="AO47" s="107" t="s">
        <v>301</v>
      </c>
      <c r="AP47" s="107" t="s">
        <v>300</v>
      </c>
      <c r="AT47" s="107" t="s">
        <v>965</v>
      </c>
      <c r="AU47" s="107" t="s">
        <v>966</v>
      </c>
      <c r="AV47" s="107" t="str">
        <f t="shared" si="1"/>
        <v>Armenian</v>
      </c>
      <c r="AW47" s="107" t="s">
        <v>967</v>
      </c>
    </row>
    <row r="48" spans="17:49" x14ac:dyDescent="0.2">
      <c r="AN48" s="107" t="s">
        <v>302</v>
      </c>
      <c r="AO48" s="107" t="s">
        <v>303</v>
      </c>
      <c r="AP48" s="107" t="s">
        <v>303</v>
      </c>
      <c r="AT48" s="107" t="s">
        <v>968</v>
      </c>
      <c r="AU48" s="107" t="s">
        <v>968</v>
      </c>
      <c r="AV48" s="107" t="str">
        <f t="shared" si="1"/>
        <v>Interlingua</v>
      </c>
      <c r="AW48" s="107" t="s">
        <v>31</v>
      </c>
    </row>
    <row r="49" spans="40:49" x14ac:dyDescent="0.2">
      <c r="AN49" s="107" t="s">
        <v>304</v>
      </c>
      <c r="AO49" s="107" t="s">
        <v>306</v>
      </c>
      <c r="AP49" s="107" t="s">
        <v>305</v>
      </c>
      <c r="AT49" s="107" t="s">
        <v>969</v>
      </c>
      <c r="AU49" s="107" t="s">
        <v>970</v>
      </c>
      <c r="AV49" s="107" t="str">
        <f t="shared" si="1"/>
        <v>Indonesian</v>
      </c>
      <c r="AW49" s="107" t="s">
        <v>440</v>
      </c>
    </row>
    <row r="50" spans="40:49" x14ac:dyDescent="0.2">
      <c r="AN50" s="107" t="s">
        <v>307</v>
      </c>
      <c r="AO50" s="107" t="s">
        <v>308</v>
      </c>
      <c r="AP50" s="107" t="s">
        <v>308</v>
      </c>
      <c r="AT50" s="107" t="s">
        <v>971</v>
      </c>
      <c r="AU50" s="107" t="s">
        <v>971</v>
      </c>
      <c r="AV50" s="107" t="str">
        <f t="shared" si="1"/>
        <v>Interlingue</v>
      </c>
      <c r="AW50" s="107" t="s">
        <v>443</v>
      </c>
    </row>
    <row r="51" spans="40:49" x14ac:dyDescent="0.2">
      <c r="AN51" s="107" t="s">
        <v>309</v>
      </c>
      <c r="AO51" s="107" t="s">
        <v>311</v>
      </c>
      <c r="AP51" s="107" t="s">
        <v>310</v>
      </c>
      <c r="AT51" s="107" t="s">
        <v>972</v>
      </c>
      <c r="AU51" s="107" t="s">
        <v>973</v>
      </c>
      <c r="AV51" s="107" t="str">
        <f t="shared" si="1"/>
        <v>Inupiaq</v>
      </c>
      <c r="AW51" s="107" t="s">
        <v>974</v>
      </c>
    </row>
    <row r="52" spans="40:49" x14ac:dyDescent="0.2">
      <c r="AN52" s="107" t="s">
        <v>312</v>
      </c>
      <c r="AO52" s="107" t="s">
        <v>314</v>
      </c>
      <c r="AP52" s="107" t="s">
        <v>313</v>
      </c>
      <c r="AT52" s="107" t="s">
        <v>975</v>
      </c>
      <c r="AU52" s="107" t="s">
        <v>976</v>
      </c>
      <c r="AV52" s="107" t="str">
        <f t="shared" si="1"/>
        <v>Icelandic</v>
      </c>
      <c r="AW52" s="107" t="s">
        <v>462</v>
      </c>
    </row>
    <row r="53" spans="40:49" x14ac:dyDescent="0.2">
      <c r="AN53" s="107" t="s">
        <v>315</v>
      </c>
      <c r="AO53" s="107" t="s">
        <v>316</v>
      </c>
      <c r="AP53" s="107" t="s">
        <v>316</v>
      </c>
      <c r="AT53" s="107" t="s">
        <v>977</v>
      </c>
      <c r="AU53" s="107" t="s">
        <v>978</v>
      </c>
      <c r="AV53" s="107" t="str">
        <f t="shared" si="1"/>
        <v>Italian</v>
      </c>
      <c r="AW53" s="107" t="s">
        <v>465</v>
      </c>
    </row>
    <row r="54" spans="40:49" x14ac:dyDescent="0.2">
      <c r="AN54" s="107" t="s">
        <v>317</v>
      </c>
      <c r="AO54" s="107" t="s">
        <v>318</v>
      </c>
      <c r="AP54" s="107" t="s">
        <v>318</v>
      </c>
      <c r="AT54" s="107" t="s">
        <v>979</v>
      </c>
      <c r="AU54" s="107" t="s">
        <v>980</v>
      </c>
      <c r="AV54" s="107" t="str">
        <f t="shared" si="1"/>
        <v>Inuktitut</v>
      </c>
      <c r="AW54" s="107" t="s">
        <v>981</v>
      </c>
    </row>
    <row r="55" spans="40:49" x14ac:dyDescent="0.2">
      <c r="AN55" s="107" t="s">
        <v>319</v>
      </c>
      <c r="AO55" s="107" t="s">
        <v>321</v>
      </c>
      <c r="AP55" s="107" t="s">
        <v>320</v>
      </c>
      <c r="AT55" s="107" t="s">
        <v>982</v>
      </c>
      <c r="AU55" s="107" t="s">
        <v>983</v>
      </c>
      <c r="AV55" s="107" t="str">
        <f t="shared" si="1"/>
        <v>Japanese</v>
      </c>
      <c r="AW55" s="107" t="s">
        <v>984</v>
      </c>
    </row>
    <row r="56" spans="40:49" x14ac:dyDescent="0.2">
      <c r="AN56" s="107" t="s">
        <v>322</v>
      </c>
      <c r="AO56" s="107" t="s">
        <v>324</v>
      </c>
      <c r="AP56" s="107" t="s">
        <v>323</v>
      </c>
      <c r="AT56" s="107" t="s">
        <v>985</v>
      </c>
      <c r="AU56" s="107" t="s">
        <v>986</v>
      </c>
      <c r="AV56" s="107" t="str">
        <f t="shared" si="1"/>
        <v>Javanese</v>
      </c>
      <c r="AW56" s="107" t="s">
        <v>987</v>
      </c>
    </row>
    <row r="57" spans="40:49" x14ac:dyDescent="0.2">
      <c r="AN57" s="107" t="s">
        <v>45</v>
      </c>
      <c r="AO57" s="107" t="s">
        <v>167</v>
      </c>
      <c r="AP57" s="107" t="s">
        <v>325</v>
      </c>
      <c r="AT57" s="107" t="s">
        <v>988</v>
      </c>
      <c r="AU57" s="107" t="s">
        <v>989</v>
      </c>
      <c r="AV57" s="107" t="str">
        <f t="shared" si="1"/>
        <v>Georgian</v>
      </c>
      <c r="AW57" s="107" t="s">
        <v>990</v>
      </c>
    </row>
    <row r="58" spans="40:49" x14ac:dyDescent="0.2">
      <c r="AN58" s="107" t="s">
        <v>326</v>
      </c>
      <c r="AO58" s="107" t="s">
        <v>328</v>
      </c>
      <c r="AP58" s="107" t="s">
        <v>327</v>
      </c>
      <c r="AT58" s="107" t="s">
        <v>991</v>
      </c>
      <c r="AU58" s="107" t="s">
        <v>992</v>
      </c>
      <c r="AV58" s="107" t="str">
        <f t="shared" si="1"/>
        <v>Kazakh</v>
      </c>
      <c r="AW58" s="107" t="s">
        <v>993</v>
      </c>
    </row>
    <row r="59" spans="40:49" x14ac:dyDescent="0.2">
      <c r="AN59" s="107" t="s">
        <v>329</v>
      </c>
      <c r="AO59" s="107" t="s">
        <v>331</v>
      </c>
      <c r="AP59" s="107" t="s">
        <v>330</v>
      </c>
      <c r="AT59" s="107" t="s">
        <v>994</v>
      </c>
      <c r="AU59" s="107" t="s">
        <v>994</v>
      </c>
      <c r="AV59" s="107" t="str">
        <f t="shared" si="1"/>
        <v>Kalaallisut</v>
      </c>
      <c r="AW59" s="107" t="s">
        <v>995</v>
      </c>
    </row>
    <row r="60" spans="40:49" x14ac:dyDescent="0.2">
      <c r="AN60" s="107" t="s">
        <v>332</v>
      </c>
      <c r="AO60" s="107" t="s">
        <v>334</v>
      </c>
      <c r="AP60" s="107" t="s">
        <v>333</v>
      </c>
      <c r="AT60" s="107" t="s">
        <v>996</v>
      </c>
      <c r="AU60" s="107" t="s">
        <v>997</v>
      </c>
      <c r="AV60" s="107" t="str">
        <f t="shared" si="1"/>
        <v>Central Khmer</v>
      </c>
      <c r="AW60" s="107" t="s">
        <v>490</v>
      </c>
    </row>
    <row r="61" spans="40:49" x14ac:dyDescent="0.2">
      <c r="AN61" s="107" t="s">
        <v>335</v>
      </c>
      <c r="AO61" s="107" t="s">
        <v>337</v>
      </c>
      <c r="AP61" s="107" t="s">
        <v>336</v>
      </c>
      <c r="AT61" s="107" t="s">
        <v>998</v>
      </c>
      <c r="AU61" s="107" t="s">
        <v>998</v>
      </c>
      <c r="AV61" s="107" t="str">
        <f t="shared" si="1"/>
        <v>Kannada</v>
      </c>
      <c r="AW61" s="107" t="s">
        <v>493</v>
      </c>
    </row>
    <row r="62" spans="40:49" x14ac:dyDescent="0.2">
      <c r="AN62" s="107" t="s">
        <v>338</v>
      </c>
      <c r="AO62" s="107" t="s">
        <v>340</v>
      </c>
      <c r="AP62" s="107" t="s">
        <v>339</v>
      </c>
      <c r="AT62" s="107" t="s">
        <v>999</v>
      </c>
      <c r="AU62" s="107" t="s">
        <v>1000</v>
      </c>
      <c r="AV62" s="107" t="str">
        <f t="shared" si="1"/>
        <v>Korean</v>
      </c>
      <c r="AW62" s="107" t="s">
        <v>1001</v>
      </c>
    </row>
    <row r="63" spans="40:49" x14ac:dyDescent="0.2">
      <c r="AN63" s="107" t="s">
        <v>341</v>
      </c>
      <c r="AO63" s="107" t="s">
        <v>342</v>
      </c>
      <c r="AP63" s="107" t="s">
        <v>342</v>
      </c>
      <c r="AT63" s="107" t="s">
        <v>1002</v>
      </c>
      <c r="AU63" s="107" t="s">
        <v>1003</v>
      </c>
      <c r="AV63" s="107" t="str">
        <f t="shared" si="1"/>
        <v>Kashmiri</v>
      </c>
      <c r="AW63" s="107" t="s">
        <v>1004</v>
      </c>
    </row>
    <row r="64" spans="40:49" x14ac:dyDescent="0.2">
      <c r="AN64" s="107" t="s">
        <v>343</v>
      </c>
      <c r="AO64" s="107" t="s">
        <v>345</v>
      </c>
      <c r="AP64" s="107" t="s">
        <v>344</v>
      </c>
      <c r="AT64" s="107" t="s">
        <v>1005</v>
      </c>
      <c r="AU64" s="107" t="s">
        <v>1006</v>
      </c>
      <c r="AV64" s="107" t="str">
        <f t="shared" si="1"/>
        <v>Kurdish</v>
      </c>
      <c r="AW64" s="107" t="s">
        <v>1007</v>
      </c>
    </row>
    <row r="65" spans="40:49" x14ac:dyDescent="0.2">
      <c r="AN65" s="107" t="s">
        <v>346</v>
      </c>
      <c r="AO65" s="107" t="s">
        <v>348</v>
      </c>
      <c r="AP65" s="107" t="s">
        <v>347</v>
      </c>
      <c r="AT65" s="107" t="s">
        <v>1008</v>
      </c>
      <c r="AU65" s="107" t="s">
        <v>1009</v>
      </c>
      <c r="AV65" s="107" t="str">
        <f t="shared" si="1"/>
        <v>Kirghiz</v>
      </c>
      <c r="AW65" s="107" t="s">
        <v>504</v>
      </c>
    </row>
    <row r="66" spans="40:49" x14ac:dyDescent="0.2">
      <c r="AN66" s="107" t="s">
        <v>349</v>
      </c>
      <c r="AO66" s="107" t="s">
        <v>351</v>
      </c>
      <c r="AP66" s="107" t="s">
        <v>350</v>
      </c>
      <c r="AT66" s="107" t="s">
        <v>1010</v>
      </c>
      <c r="AU66" s="107" t="s">
        <v>1011</v>
      </c>
      <c r="AV66" s="107" t="str">
        <f t="shared" ref="AV66:AV97" si="2">IF(Sprache=DE,AT66,AU66)</f>
        <v>Latin</v>
      </c>
      <c r="AW66" s="107" t="s">
        <v>510</v>
      </c>
    </row>
    <row r="67" spans="40:49" x14ac:dyDescent="0.2">
      <c r="AN67" s="107" t="s">
        <v>352</v>
      </c>
      <c r="AO67" s="107" t="s">
        <v>353</v>
      </c>
      <c r="AP67" s="107" t="s">
        <v>353</v>
      </c>
      <c r="AT67" s="107" t="s">
        <v>1012</v>
      </c>
      <c r="AU67" s="107" t="s">
        <v>1012</v>
      </c>
      <c r="AV67" s="107" t="str">
        <f t="shared" si="2"/>
        <v>Lingala</v>
      </c>
      <c r="AW67" s="107" t="s">
        <v>1013</v>
      </c>
    </row>
    <row r="68" spans="40:49" x14ac:dyDescent="0.2">
      <c r="AN68" s="107" t="s">
        <v>354</v>
      </c>
      <c r="AO68" s="107" t="s">
        <v>356</v>
      </c>
      <c r="AP68" s="107" t="s">
        <v>355</v>
      </c>
      <c r="AT68" s="107" t="s">
        <v>1014</v>
      </c>
      <c r="AU68" s="107" t="s">
        <v>1015</v>
      </c>
      <c r="AV68" s="107" t="str">
        <f t="shared" si="2"/>
        <v>Lao</v>
      </c>
      <c r="AW68" s="107" t="s">
        <v>1016</v>
      </c>
    </row>
    <row r="69" spans="40:49" x14ac:dyDescent="0.2">
      <c r="AN69" s="107" t="s">
        <v>357</v>
      </c>
      <c r="AO69" s="107" t="s">
        <v>359</v>
      </c>
      <c r="AP69" s="107" t="s">
        <v>358</v>
      </c>
      <c r="AT69" s="107" t="s">
        <v>1017</v>
      </c>
      <c r="AU69" s="107" t="s">
        <v>1018</v>
      </c>
      <c r="AV69" s="107" t="str">
        <f t="shared" si="2"/>
        <v>Lithuanian</v>
      </c>
      <c r="AW69" s="107" t="s">
        <v>525</v>
      </c>
    </row>
    <row r="70" spans="40:49" x14ac:dyDescent="0.2">
      <c r="AN70" s="107" t="s">
        <v>360</v>
      </c>
      <c r="AO70" s="107" t="s">
        <v>362</v>
      </c>
      <c r="AP70" s="107" t="s">
        <v>361</v>
      </c>
      <c r="AT70" s="107" t="s">
        <v>1019</v>
      </c>
      <c r="AU70" s="107" t="s">
        <v>1020</v>
      </c>
      <c r="AV70" s="107" t="str">
        <f t="shared" si="2"/>
        <v>Latvian</v>
      </c>
      <c r="AW70" s="107" t="s">
        <v>531</v>
      </c>
    </row>
    <row r="71" spans="40:49" x14ac:dyDescent="0.2">
      <c r="AN71" s="107" t="s">
        <v>363</v>
      </c>
      <c r="AO71" s="107" t="s">
        <v>365</v>
      </c>
      <c r="AP71" s="107" t="s">
        <v>364</v>
      </c>
      <c r="AT71" s="107" t="s">
        <v>1021</v>
      </c>
      <c r="AU71" s="107" t="s">
        <v>1022</v>
      </c>
      <c r="AV71" s="107" t="str">
        <f t="shared" si="2"/>
        <v>Malagasy</v>
      </c>
      <c r="AW71" s="107" t="s">
        <v>548</v>
      </c>
    </row>
    <row r="72" spans="40:49" x14ac:dyDescent="0.2">
      <c r="AN72" s="107" t="s">
        <v>366</v>
      </c>
      <c r="AO72" s="107" t="s">
        <v>368</v>
      </c>
      <c r="AP72" s="107" t="s">
        <v>367</v>
      </c>
      <c r="AT72" s="107" t="s">
        <v>1023</v>
      </c>
      <c r="AU72" s="107" t="s">
        <v>1024</v>
      </c>
      <c r="AV72" s="107" t="str">
        <f t="shared" si="2"/>
        <v>Maori</v>
      </c>
      <c r="AW72" s="107" t="s">
        <v>1025</v>
      </c>
    </row>
    <row r="73" spans="40:49" x14ac:dyDescent="0.2">
      <c r="AN73" s="107" t="s">
        <v>369</v>
      </c>
      <c r="AO73" s="107" t="s">
        <v>371</v>
      </c>
      <c r="AP73" s="107" t="s">
        <v>370</v>
      </c>
      <c r="AT73" s="107" t="s">
        <v>1026</v>
      </c>
      <c r="AU73" s="107" t="s">
        <v>1027</v>
      </c>
      <c r="AV73" s="107" t="str">
        <f t="shared" si="2"/>
        <v>Macedonian</v>
      </c>
      <c r="AW73" s="107" t="s">
        <v>554</v>
      </c>
    </row>
    <row r="74" spans="40:49" x14ac:dyDescent="0.2">
      <c r="AN74" s="107" t="s">
        <v>372</v>
      </c>
      <c r="AO74" s="107" t="s">
        <v>374</v>
      </c>
      <c r="AP74" s="107" t="s">
        <v>373</v>
      </c>
      <c r="AT74" s="107" t="s">
        <v>1028</v>
      </c>
      <c r="AU74" s="107" t="s">
        <v>1029</v>
      </c>
      <c r="AV74" s="107" t="str">
        <f t="shared" si="2"/>
        <v>Malayalam</v>
      </c>
      <c r="AW74" s="107" t="s">
        <v>557</v>
      </c>
    </row>
    <row r="75" spans="40:49" x14ac:dyDescent="0.2">
      <c r="AN75" s="107" t="s">
        <v>375</v>
      </c>
      <c r="AO75" s="107" t="s">
        <v>377</v>
      </c>
      <c r="AP75" s="107" t="s">
        <v>376</v>
      </c>
      <c r="AT75" s="107" t="s">
        <v>1030</v>
      </c>
      <c r="AU75" s="107" t="s">
        <v>1031</v>
      </c>
      <c r="AV75" s="107" t="str">
        <f t="shared" si="2"/>
        <v>Mongolian</v>
      </c>
      <c r="AW75" s="107" t="s">
        <v>562</v>
      </c>
    </row>
    <row r="76" spans="40:49" x14ac:dyDescent="0.2">
      <c r="AN76" s="107" t="s">
        <v>378</v>
      </c>
      <c r="AO76" s="107" t="s">
        <v>380</v>
      </c>
      <c r="AP76" s="107" t="s">
        <v>379</v>
      </c>
      <c r="AT76" s="107" t="s">
        <v>1032</v>
      </c>
      <c r="AU76" s="107" t="s">
        <v>1033</v>
      </c>
      <c r="AV76" s="107" t="str">
        <f t="shared" si="2"/>
        <v>Moldawian</v>
      </c>
      <c r="AW76" s="107" t="s">
        <v>565</v>
      </c>
    </row>
    <row r="77" spans="40:49" x14ac:dyDescent="0.2">
      <c r="AN77" s="107" t="s">
        <v>381</v>
      </c>
      <c r="AO77" s="107" t="s">
        <v>383</v>
      </c>
      <c r="AP77" s="107" t="s">
        <v>382</v>
      </c>
      <c r="AT77" s="107" t="s">
        <v>1034</v>
      </c>
      <c r="AU77" s="107" t="s">
        <v>1034</v>
      </c>
      <c r="AV77" s="107" t="str">
        <f t="shared" si="2"/>
        <v>Marathi</v>
      </c>
      <c r="AW77" s="107" t="s">
        <v>572</v>
      </c>
    </row>
    <row r="78" spans="40:49" x14ac:dyDescent="0.2">
      <c r="AN78" s="107" t="s">
        <v>384</v>
      </c>
      <c r="AO78" s="107" t="s">
        <v>385</v>
      </c>
      <c r="AP78" s="107" t="s">
        <v>385</v>
      </c>
      <c r="AT78" s="107" t="s">
        <v>1035</v>
      </c>
      <c r="AU78" s="107" t="s">
        <v>1036</v>
      </c>
      <c r="AV78" s="107" t="str">
        <f t="shared" si="2"/>
        <v>Malay</v>
      </c>
      <c r="AW78" s="107" t="s">
        <v>575</v>
      </c>
    </row>
    <row r="79" spans="40:49" x14ac:dyDescent="0.2">
      <c r="AN79" s="107" t="s">
        <v>386</v>
      </c>
      <c r="AO79" s="107" t="s">
        <v>388</v>
      </c>
      <c r="AP79" s="107" t="s">
        <v>387</v>
      </c>
      <c r="AT79" s="107" t="s">
        <v>1037</v>
      </c>
      <c r="AU79" s="107" t="s">
        <v>1038</v>
      </c>
      <c r="AV79" s="107" t="str">
        <f t="shared" si="2"/>
        <v>Maltese</v>
      </c>
      <c r="AW79" s="107" t="s">
        <v>577</v>
      </c>
    </row>
    <row r="80" spans="40:49" x14ac:dyDescent="0.2">
      <c r="AN80" s="107" t="s">
        <v>389</v>
      </c>
      <c r="AO80" s="107" t="s">
        <v>391</v>
      </c>
      <c r="AP80" s="107" t="s">
        <v>390</v>
      </c>
      <c r="AT80" s="107" t="s">
        <v>1039</v>
      </c>
      <c r="AU80" s="107" t="s">
        <v>1040</v>
      </c>
      <c r="AV80" s="107" t="str">
        <f t="shared" si="2"/>
        <v>Burmese</v>
      </c>
      <c r="AW80" s="107" t="s">
        <v>589</v>
      </c>
    </row>
    <row r="81" spans="40:49" x14ac:dyDescent="0.2">
      <c r="AN81" s="107" t="s">
        <v>392</v>
      </c>
      <c r="AO81" s="107" t="s">
        <v>393</v>
      </c>
      <c r="AP81" s="107" t="s">
        <v>393</v>
      </c>
      <c r="AT81" s="107" t="s">
        <v>1041</v>
      </c>
      <c r="AU81" s="107" t="s">
        <v>617</v>
      </c>
      <c r="AV81" s="107" t="str">
        <f t="shared" si="2"/>
        <v>Nauru</v>
      </c>
      <c r="AW81" s="107" t="s">
        <v>594</v>
      </c>
    </row>
    <row r="82" spans="40:49" x14ac:dyDescent="0.2">
      <c r="AN82" s="107" t="s">
        <v>394</v>
      </c>
      <c r="AO82" s="107" t="s">
        <v>395</v>
      </c>
      <c r="AP82" s="107" t="s">
        <v>395</v>
      </c>
      <c r="AT82" s="107" t="s">
        <v>1042</v>
      </c>
      <c r="AU82" s="107" t="s">
        <v>1043</v>
      </c>
      <c r="AV82" s="107" t="str">
        <f t="shared" si="2"/>
        <v>Nepali</v>
      </c>
      <c r="AW82" s="107" t="s">
        <v>599</v>
      </c>
    </row>
    <row r="83" spans="40:49" x14ac:dyDescent="0.2">
      <c r="AN83" s="107" t="s">
        <v>396</v>
      </c>
      <c r="AO83" s="107" t="s">
        <v>397</v>
      </c>
      <c r="AP83" s="107" t="s">
        <v>397</v>
      </c>
      <c r="AT83" s="107" t="s">
        <v>1044</v>
      </c>
      <c r="AU83" s="107" t="s">
        <v>1045</v>
      </c>
      <c r="AV83" s="107" t="str">
        <f t="shared" si="2"/>
        <v>Dutch</v>
      </c>
      <c r="AW83" s="107" t="s">
        <v>608</v>
      </c>
    </row>
    <row r="84" spans="40:49" x14ac:dyDescent="0.2">
      <c r="AN84" s="107" t="s">
        <v>398</v>
      </c>
      <c r="AO84" s="107" t="s">
        <v>400</v>
      </c>
      <c r="AP84" s="107" t="s">
        <v>399</v>
      </c>
      <c r="AT84" s="107" t="s">
        <v>1046</v>
      </c>
      <c r="AU84" s="107" t="s">
        <v>1047</v>
      </c>
      <c r="AV84" s="107" t="str">
        <f t="shared" si="2"/>
        <v>Norwegian</v>
      </c>
      <c r="AW84" s="107" t="s">
        <v>611</v>
      </c>
    </row>
    <row r="85" spans="40:49" x14ac:dyDescent="0.2">
      <c r="AN85" s="107" t="s">
        <v>401</v>
      </c>
      <c r="AO85" s="107" t="s">
        <v>402</v>
      </c>
      <c r="AP85" s="107" t="s">
        <v>402</v>
      </c>
      <c r="AT85" s="107" t="s">
        <v>1048</v>
      </c>
      <c r="AU85" s="107" t="s">
        <v>1048</v>
      </c>
      <c r="AV85" s="107" t="str">
        <f t="shared" si="2"/>
        <v>Oromo</v>
      </c>
      <c r="AW85" s="107" t="s">
        <v>623</v>
      </c>
    </row>
    <row r="86" spans="40:49" x14ac:dyDescent="0.2">
      <c r="AN86" s="107" t="s">
        <v>403</v>
      </c>
      <c r="AO86" s="107" t="s">
        <v>404</v>
      </c>
      <c r="AP86" s="107" t="s">
        <v>404</v>
      </c>
      <c r="AT86" s="107" t="s">
        <v>1049</v>
      </c>
      <c r="AU86" s="107" t="s">
        <v>1049</v>
      </c>
      <c r="AV86" s="107" t="str">
        <f t="shared" si="2"/>
        <v>Oriya</v>
      </c>
      <c r="AW86" s="107" t="s">
        <v>1050</v>
      </c>
    </row>
    <row r="87" spans="40:49" x14ac:dyDescent="0.2">
      <c r="AN87" s="107" t="s">
        <v>405</v>
      </c>
      <c r="AO87" s="107" t="s">
        <v>406</v>
      </c>
      <c r="AP87" s="107" t="s">
        <v>406</v>
      </c>
      <c r="AT87" s="107" t="s">
        <v>1051</v>
      </c>
      <c r="AU87" s="107" t="s">
        <v>1052</v>
      </c>
      <c r="AV87" s="107" t="str">
        <f t="shared" si="2"/>
        <v>Panjabi</v>
      </c>
      <c r="AW87" s="107" t="s">
        <v>625</v>
      </c>
    </row>
    <row r="88" spans="40:49" x14ac:dyDescent="0.2">
      <c r="AN88" s="107" t="s">
        <v>407</v>
      </c>
      <c r="AO88" s="107" t="s">
        <v>409</v>
      </c>
      <c r="AP88" s="107" t="s">
        <v>408</v>
      </c>
      <c r="AT88" s="107" t="s">
        <v>1053</v>
      </c>
      <c r="AU88" s="107" t="s">
        <v>1054</v>
      </c>
      <c r="AV88" s="107" t="str">
        <f t="shared" si="2"/>
        <v>Polish</v>
      </c>
      <c r="AW88" s="107" t="s">
        <v>640</v>
      </c>
    </row>
    <row r="89" spans="40:49" x14ac:dyDescent="0.2">
      <c r="AN89" s="107" t="s">
        <v>410</v>
      </c>
      <c r="AO89" s="107" t="s">
        <v>412</v>
      </c>
      <c r="AP89" s="107" t="s">
        <v>411</v>
      </c>
      <c r="AT89" s="107" t="s">
        <v>1055</v>
      </c>
      <c r="AU89" s="107" t="s">
        <v>1056</v>
      </c>
      <c r="AV89" s="107" t="str">
        <f t="shared" si="2"/>
        <v>Pushto</v>
      </c>
      <c r="AW89" s="107" t="s">
        <v>650</v>
      </c>
    </row>
    <row r="90" spans="40:49" x14ac:dyDescent="0.2">
      <c r="AN90" s="107" t="s">
        <v>413</v>
      </c>
      <c r="AO90" s="107" t="s">
        <v>415</v>
      </c>
      <c r="AP90" s="107" t="s">
        <v>414</v>
      </c>
      <c r="AT90" s="107" t="s">
        <v>1057</v>
      </c>
      <c r="AU90" s="107" t="s">
        <v>1058</v>
      </c>
      <c r="AV90" s="107" t="str">
        <f t="shared" si="2"/>
        <v>Portuguese</v>
      </c>
      <c r="AW90" s="107" t="s">
        <v>653</v>
      </c>
    </row>
    <row r="91" spans="40:49" x14ac:dyDescent="0.2">
      <c r="AN91" s="107" t="s">
        <v>416</v>
      </c>
      <c r="AO91" s="107" t="s">
        <v>417</v>
      </c>
      <c r="AP91" s="107" t="s">
        <v>417</v>
      </c>
      <c r="AT91" s="107" t="s">
        <v>1059</v>
      </c>
      <c r="AU91" s="107" t="s">
        <v>1059</v>
      </c>
      <c r="AV91" s="107" t="str">
        <f t="shared" si="2"/>
        <v>Quechua</v>
      </c>
      <c r="AW91" s="107" t="s">
        <v>1060</v>
      </c>
    </row>
    <row r="92" spans="40:49" x14ac:dyDescent="0.2">
      <c r="AN92" s="107" t="s">
        <v>418</v>
      </c>
      <c r="AO92" s="107" t="s">
        <v>419</v>
      </c>
      <c r="AP92" s="107" t="s">
        <v>419</v>
      </c>
      <c r="AT92" s="107" t="s">
        <v>1061</v>
      </c>
      <c r="AU92" s="107" t="s">
        <v>1062</v>
      </c>
      <c r="AV92" s="107" t="str">
        <f t="shared" si="2"/>
        <v>Romansh</v>
      </c>
      <c r="AW92" s="107" t="s">
        <v>1063</v>
      </c>
    </row>
    <row r="93" spans="40:49" x14ac:dyDescent="0.2">
      <c r="AN93" s="107" t="s">
        <v>420</v>
      </c>
      <c r="AO93" s="107" t="s">
        <v>422</v>
      </c>
      <c r="AP93" s="107" t="s">
        <v>421</v>
      </c>
      <c r="AT93" s="107" t="s">
        <v>1064</v>
      </c>
      <c r="AU93" s="107" t="s">
        <v>1065</v>
      </c>
      <c r="AV93" s="107" t="str">
        <f t="shared" si="2"/>
        <v>Rundi</v>
      </c>
      <c r="AW93" s="107" t="s">
        <v>1066</v>
      </c>
    </row>
    <row r="94" spans="40:49" x14ac:dyDescent="0.2">
      <c r="AN94" s="107" t="s">
        <v>423</v>
      </c>
      <c r="AO94" s="107" t="s">
        <v>424</v>
      </c>
      <c r="AP94" s="107" t="s">
        <v>424</v>
      </c>
      <c r="AT94" s="107" t="s">
        <v>1067</v>
      </c>
      <c r="AU94" s="107" t="s">
        <v>1068</v>
      </c>
      <c r="AV94" s="107" t="str">
        <f t="shared" si="2"/>
        <v>Romanian</v>
      </c>
      <c r="AW94" s="107" t="s">
        <v>663</v>
      </c>
    </row>
    <row r="95" spans="40:49" x14ac:dyDescent="0.2">
      <c r="AN95" s="107" t="s">
        <v>425</v>
      </c>
      <c r="AO95" s="107" t="s">
        <v>426</v>
      </c>
      <c r="AP95" s="107" t="s">
        <v>426</v>
      </c>
      <c r="AT95" s="107" t="s">
        <v>1069</v>
      </c>
      <c r="AU95" s="107" t="s">
        <v>1070</v>
      </c>
      <c r="AV95" s="107" t="str">
        <f t="shared" si="2"/>
        <v>Russian</v>
      </c>
      <c r="AW95" s="107" t="s">
        <v>669</v>
      </c>
    </row>
    <row r="96" spans="40:49" x14ac:dyDescent="0.2">
      <c r="AN96" s="107" t="s">
        <v>427</v>
      </c>
      <c r="AO96" s="107" t="s">
        <v>429</v>
      </c>
      <c r="AP96" s="107" t="s">
        <v>428</v>
      </c>
      <c r="AT96" s="107" t="s">
        <v>1071</v>
      </c>
      <c r="AU96" s="107" t="s">
        <v>1072</v>
      </c>
      <c r="AV96" s="107" t="str">
        <f t="shared" si="2"/>
        <v>Kinyarwanda</v>
      </c>
      <c r="AW96" s="107" t="s">
        <v>672</v>
      </c>
    </row>
    <row r="97" spans="40:49" x14ac:dyDescent="0.2">
      <c r="AN97" s="107" t="s">
        <v>430</v>
      </c>
      <c r="AO97" s="107" t="s">
        <v>431</v>
      </c>
      <c r="AP97" s="107" t="s">
        <v>431</v>
      </c>
      <c r="AT97" s="107" t="s">
        <v>1073</v>
      </c>
      <c r="AU97" s="107" t="s">
        <v>1073</v>
      </c>
      <c r="AV97" s="107" t="str">
        <f t="shared" si="2"/>
        <v>Sanskrit</v>
      </c>
      <c r="AW97" s="107" t="s">
        <v>32</v>
      </c>
    </row>
    <row r="98" spans="40:49" x14ac:dyDescent="0.2">
      <c r="AN98" s="107" t="s">
        <v>432</v>
      </c>
      <c r="AO98" s="107" t="s">
        <v>434</v>
      </c>
      <c r="AP98" s="107" t="s">
        <v>433</v>
      </c>
      <c r="AT98" s="107" t="s">
        <v>1074</v>
      </c>
      <c r="AU98" s="107" t="s">
        <v>1075</v>
      </c>
      <c r="AV98" s="107" t="str">
        <f t="shared" ref="AV98:AV129" si="3">IF(Sprache=DE,AT98,AU98)</f>
        <v>Sindhi</v>
      </c>
      <c r="AW98" s="107" t="s">
        <v>683</v>
      </c>
    </row>
    <row r="99" spans="40:49" x14ac:dyDescent="0.2">
      <c r="AN99" s="107" t="s">
        <v>435</v>
      </c>
      <c r="AO99" s="107" t="s">
        <v>436</v>
      </c>
      <c r="AP99" s="107" t="s">
        <v>436</v>
      </c>
      <c r="AT99" s="107" t="s">
        <v>1076</v>
      </c>
      <c r="AU99" s="107" t="s">
        <v>1076</v>
      </c>
      <c r="AV99" s="107" t="str">
        <f t="shared" si="3"/>
        <v>Sango</v>
      </c>
      <c r="AW99" s="107" t="s">
        <v>688</v>
      </c>
    </row>
    <row r="100" spans="40:49" x14ac:dyDescent="0.2">
      <c r="AN100" s="107" t="s">
        <v>437</v>
      </c>
      <c r="AO100" s="107" t="s">
        <v>439</v>
      </c>
      <c r="AP100" s="107" t="s">
        <v>438</v>
      </c>
      <c r="AT100" s="107" t="s">
        <v>1077</v>
      </c>
      <c r="AU100" s="107" t="s">
        <v>1078</v>
      </c>
      <c r="AV100" s="107" t="str">
        <f t="shared" si="3"/>
        <v>Serbo Croatian</v>
      </c>
      <c r="AW100" s="107" t="s">
        <v>691</v>
      </c>
    </row>
    <row r="101" spans="40:49" x14ac:dyDescent="0.2">
      <c r="AN101" s="107" t="s">
        <v>440</v>
      </c>
      <c r="AO101" s="107" t="s">
        <v>442</v>
      </c>
      <c r="AP101" s="107" t="s">
        <v>441</v>
      </c>
      <c r="AT101" s="107" t="s">
        <v>1079</v>
      </c>
      <c r="AU101" s="107" t="s">
        <v>1080</v>
      </c>
      <c r="AV101" s="107" t="str">
        <f t="shared" si="3"/>
        <v>Sinhala</v>
      </c>
      <c r="AW101" s="107" t="s">
        <v>694</v>
      </c>
    </row>
    <row r="102" spans="40:49" x14ac:dyDescent="0.2">
      <c r="AN102" s="107" t="s">
        <v>443</v>
      </c>
      <c r="AO102" s="107" t="s">
        <v>445</v>
      </c>
      <c r="AP102" s="107" t="s">
        <v>444</v>
      </c>
      <c r="AT102" s="107" t="s">
        <v>1081</v>
      </c>
      <c r="AU102" s="107" t="s">
        <v>1082</v>
      </c>
      <c r="AV102" s="107" t="str">
        <f t="shared" si="3"/>
        <v>Slovak</v>
      </c>
      <c r="AW102" s="107" t="s">
        <v>700</v>
      </c>
    </row>
    <row r="103" spans="40:49" x14ac:dyDescent="0.2">
      <c r="AN103" s="107" t="s">
        <v>446</v>
      </c>
      <c r="AO103" s="107" t="s">
        <v>447</v>
      </c>
      <c r="AP103" s="107" t="s">
        <v>447</v>
      </c>
      <c r="AT103" s="107" t="s">
        <v>1083</v>
      </c>
      <c r="AU103" s="107" t="s">
        <v>1084</v>
      </c>
      <c r="AV103" s="107" t="str">
        <f t="shared" si="3"/>
        <v>Slovenian</v>
      </c>
      <c r="AW103" s="107" t="s">
        <v>703</v>
      </c>
    </row>
    <row r="104" spans="40:49" x14ac:dyDescent="0.2">
      <c r="AN104" s="107" t="s">
        <v>448</v>
      </c>
      <c r="AO104" s="107" t="s">
        <v>450</v>
      </c>
      <c r="AP104" s="107" t="s">
        <v>449</v>
      </c>
      <c r="AT104" s="107" t="s">
        <v>1085</v>
      </c>
      <c r="AU104" s="107" t="s">
        <v>1086</v>
      </c>
      <c r="AV104" s="107" t="str">
        <f t="shared" si="3"/>
        <v>Samoan</v>
      </c>
      <c r="AW104" s="107" t="s">
        <v>705</v>
      </c>
    </row>
    <row r="105" spans="40:49" x14ac:dyDescent="0.2">
      <c r="AN105" s="107" t="s">
        <v>451</v>
      </c>
      <c r="AO105" s="107" t="s">
        <v>453</v>
      </c>
      <c r="AP105" s="107" t="s">
        <v>452</v>
      </c>
      <c r="AT105" s="107" t="s">
        <v>1087</v>
      </c>
      <c r="AU105" s="107" t="s">
        <v>1088</v>
      </c>
      <c r="AV105" s="107" t="str">
        <f t="shared" si="3"/>
        <v>Shona</v>
      </c>
      <c r="AW105" s="107" t="s">
        <v>707</v>
      </c>
    </row>
    <row r="106" spans="40:49" x14ac:dyDescent="0.2">
      <c r="AN106" s="107" t="s">
        <v>454</v>
      </c>
      <c r="AO106" s="107" t="s">
        <v>456</v>
      </c>
      <c r="AP106" s="107" t="s">
        <v>455</v>
      </c>
      <c r="AT106" s="107" t="s">
        <v>1089</v>
      </c>
      <c r="AU106" s="107" t="s">
        <v>1090</v>
      </c>
      <c r="AV106" s="107" t="str">
        <f t="shared" si="3"/>
        <v>Somali</v>
      </c>
      <c r="AW106" s="107" t="s">
        <v>709</v>
      </c>
    </row>
    <row r="107" spans="40:49" x14ac:dyDescent="0.2">
      <c r="AN107" s="107" t="s">
        <v>457</v>
      </c>
      <c r="AO107" s="107" t="s">
        <v>459</v>
      </c>
      <c r="AP107" s="107" t="s">
        <v>458</v>
      </c>
      <c r="AT107" s="107" t="s">
        <v>1091</v>
      </c>
      <c r="AU107" s="107" t="s">
        <v>1092</v>
      </c>
      <c r="AV107" s="107" t="str">
        <f t="shared" si="3"/>
        <v>Albanian</v>
      </c>
      <c r="AW107" s="107" t="s">
        <v>1093</v>
      </c>
    </row>
    <row r="108" spans="40:49" x14ac:dyDescent="0.2">
      <c r="AN108" s="107" t="s">
        <v>460</v>
      </c>
      <c r="AO108" s="107" t="s">
        <v>461</v>
      </c>
      <c r="AP108" s="107" t="s">
        <v>461</v>
      </c>
      <c r="AT108" s="107" t="s">
        <v>1094</v>
      </c>
      <c r="AU108" s="107" t="s">
        <v>1095</v>
      </c>
      <c r="AV108" s="107" t="str">
        <f t="shared" si="3"/>
        <v>Serbian</v>
      </c>
      <c r="AW108" s="107" t="s">
        <v>711</v>
      </c>
    </row>
    <row r="109" spans="40:49" x14ac:dyDescent="0.2">
      <c r="AN109" s="107" t="s">
        <v>462</v>
      </c>
      <c r="AO109" s="107" t="s">
        <v>464</v>
      </c>
      <c r="AP109" s="107" t="s">
        <v>463</v>
      </c>
      <c r="AT109" s="107" t="s">
        <v>1096</v>
      </c>
      <c r="AU109" s="107" t="s">
        <v>1097</v>
      </c>
      <c r="AV109" s="107" t="str">
        <f t="shared" si="3"/>
        <v>Swati</v>
      </c>
      <c r="AW109" s="107" t="s">
        <v>714</v>
      </c>
    </row>
    <row r="110" spans="40:49" x14ac:dyDescent="0.2">
      <c r="AN110" s="107" t="s">
        <v>465</v>
      </c>
      <c r="AO110" s="107" t="s">
        <v>467</v>
      </c>
      <c r="AP110" s="107" t="s">
        <v>466</v>
      </c>
      <c r="AT110" s="107" t="s">
        <v>1098</v>
      </c>
      <c r="AU110" s="107" t="s">
        <v>1099</v>
      </c>
      <c r="AV110" s="107" t="str">
        <f t="shared" si="3"/>
        <v>Southern Sotho</v>
      </c>
      <c r="AW110" s="107" t="s">
        <v>717</v>
      </c>
    </row>
    <row r="111" spans="40:49" x14ac:dyDescent="0.2">
      <c r="AN111" s="107" t="s">
        <v>468</v>
      </c>
      <c r="AO111" s="107" t="s">
        <v>470</v>
      </c>
      <c r="AP111" s="107" t="s">
        <v>469</v>
      </c>
      <c r="AT111" s="107" t="s">
        <v>1100</v>
      </c>
      <c r="AU111" s="107" t="s">
        <v>1101</v>
      </c>
      <c r="AV111" s="107" t="str">
        <f t="shared" si="3"/>
        <v>Sundanese</v>
      </c>
      <c r="AW111" s="107" t="s">
        <v>1102</v>
      </c>
    </row>
    <row r="112" spans="40:49" x14ac:dyDescent="0.2">
      <c r="AN112" s="107" t="s">
        <v>471</v>
      </c>
      <c r="AO112" s="107" t="s">
        <v>473</v>
      </c>
      <c r="AP112" s="107" t="s">
        <v>472</v>
      </c>
      <c r="AT112" s="107" t="s">
        <v>1103</v>
      </c>
      <c r="AU112" s="107" t="s">
        <v>1104</v>
      </c>
      <c r="AV112" s="107" t="str">
        <f t="shared" si="3"/>
        <v>Swedish</v>
      </c>
      <c r="AW112" s="107" t="s">
        <v>720</v>
      </c>
    </row>
    <row r="113" spans="40:49" x14ac:dyDescent="0.2">
      <c r="AN113" s="107" t="s">
        <v>474</v>
      </c>
      <c r="AO113" s="107" t="s">
        <v>476</v>
      </c>
      <c r="AP113" s="107" t="s">
        <v>475</v>
      </c>
      <c r="AT113" s="107" t="s">
        <v>1105</v>
      </c>
      <c r="AU113" s="107" t="s">
        <v>1106</v>
      </c>
      <c r="AV113" s="107" t="str">
        <f t="shared" si="3"/>
        <v>Swahili</v>
      </c>
      <c r="AW113" s="107" t="s">
        <v>1107</v>
      </c>
    </row>
    <row r="114" spans="40:49" x14ac:dyDescent="0.2">
      <c r="AN114" s="107" t="s">
        <v>477</v>
      </c>
      <c r="AO114" s="107" t="s">
        <v>478</v>
      </c>
      <c r="AP114" s="107" t="s">
        <v>478</v>
      </c>
      <c r="AT114" s="107" t="s">
        <v>1108</v>
      </c>
      <c r="AU114" s="107" t="s">
        <v>1109</v>
      </c>
      <c r="AV114" s="107" t="str">
        <f t="shared" si="3"/>
        <v>Tamil</v>
      </c>
      <c r="AW114" s="107" t="s">
        <v>1110</v>
      </c>
    </row>
    <row r="115" spans="40:49" x14ac:dyDescent="0.2">
      <c r="AN115" s="107" t="s">
        <v>479</v>
      </c>
      <c r="AO115" s="107" t="s">
        <v>481</v>
      </c>
      <c r="AP115" s="107" t="s">
        <v>480</v>
      </c>
      <c r="AT115" s="107" t="s">
        <v>1111</v>
      </c>
      <c r="AU115" s="107" t="s">
        <v>1112</v>
      </c>
      <c r="AV115" s="107" t="str">
        <f t="shared" si="3"/>
        <v>Telugu</v>
      </c>
      <c r="AW115" s="107" t="s">
        <v>1113</v>
      </c>
    </row>
    <row r="116" spans="40:49" x14ac:dyDescent="0.2">
      <c r="AN116" s="107" t="s">
        <v>482</v>
      </c>
      <c r="AO116" s="107" t="s">
        <v>484</v>
      </c>
      <c r="AP116" s="107" t="s">
        <v>483</v>
      </c>
      <c r="AT116" s="107" t="s">
        <v>1114</v>
      </c>
      <c r="AU116" s="107" t="s">
        <v>1115</v>
      </c>
      <c r="AV116" s="107" t="str">
        <f t="shared" si="3"/>
        <v>Tajik</v>
      </c>
      <c r="AW116" s="107" t="s">
        <v>739</v>
      </c>
    </row>
    <row r="117" spans="40:49" x14ac:dyDescent="0.2">
      <c r="AN117" s="107" t="s">
        <v>485</v>
      </c>
      <c r="AO117" s="107" t="s">
        <v>487</v>
      </c>
      <c r="AP117" s="107" t="s">
        <v>486</v>
      </c>
      <c r="AT117" s="107" t="s">
        <v>1116</v>
      </c>
      <c r="AU117" s="107" t="s">
        <v>1116</v>
      </c>
      <c r="AV117" s="107" t="str">
        <f t="shared" si="3"/>
        <v>Thai</v>
      </c>
      <c r="AW117" s="107" t="s">
        <v>741</v>
      </c>
    </row>
    <row r="118" spans="40:49" x14ac:dyDescent="0.2">
      <c r="AN118" s="107" t="s">
        <v>488</v>
      </c>
      <c r="AO118" s="107" t="s">
        <v>489</v>
      </c>
      <c r="AP118" s="107" t="s">
        <v>489</v>
      </c>
      <c r="AT118" s="107" t="s">
        <v>1117</v>
      </c>
      <c r="AU118" s="107" t="s">
        <v>1118</v>
      </c>
      <c r="AV118" s="107" t="str">
        <f t="shared" si="3"/>
        <v>Tigrinya</v>
      </c>
      <c r="AW118" s="107" t="s">
        <v>1119</v>
      </c>
    </row>
    <row r="119" spans="40:49" x14ac:dyDescent="0.2">
      <c r="AN119" s="107" t="s">
        <v>490</v>
      </c>
      <c r="AO119" s="107" t="s">
        <v>492</v>
      </c>
      <c r="AP119" s="107" t="s">
        <v>491</v>
      </c>
      <c r="AT119" s="107" t="s">
        <v>1120</v>
      </c>
      <c r="AU119" s="107" t="s">
        <v>1121</v>
      </c>
      <c r="AV119" s="107" t="str">
        <f t="shared" si="3"/>
        <v>Turkmen</v>
      </c>
      <c r="AW119" s="107" t="s">
        <v>746</v>
      </c>
    </row>
    <row r="120" spans="40:49" x14ac:dyDescent="0.2">
      <c r="AN120" s="107" t="s">
        <v>493</v>
      </c>
      <c r="AO120" s="107" t="s">
        <v>495</v>
      </c>
      <c r="AP120" s="107" t="s">
        <v>494</v>
      </c>
      <c r="AT120" s="107" t="s">
        <v>1122</v>
      </c>
      <c r="AU120" s="107" t="s">
        <v>1122</v>
      </c>
      <c r="AV120" s="107" t="str">
        <f t="shared" si="3"/>
        <v>Tagalog</v>
      </c>
      <c r="AW120" s="107" t="s">
        <v>748</v>
      </c>
    </row>
    <row r="121" spans="40:49" x14ac:dyDescent="0.2">
      <c r="AN121" s="107" t="s">
        <v>496</v>
      </c>
      <c r="AO121" s="107" t="s">
        <v>498</v>
      </c>
      <c r="AP121" s="107" t="s">
        <v>497</v>
      </c>
      <c r="AT121" s="107" t="s">
        <v>1123</v>
      </c>
      <c r="AU121" s="107" t="s">
        <v>1124</v>
      </c>
      <c r="AV121" s="107" t="str">
        <f t="shared" si="3"/>
        <v>Tswana</v>
      </c>
      <c r="AW121" s="107" t="s">
        <v>753</v>
      </c>
    </row>
    <row r="122" spans="40:49" x14ac:dyDescent="0.2">
      <c r="AN122" s="107" t="s">
        <v>499</v>
      </c>
      <c r="AO122" s="107" t="s">
        <v>501</v>
      </c>
      <c r="AP122" s="107" t="s">
        <v>500</v>
      </c>
      <c r="AT122" s="107" t="s">
        <v>1125</v>
      </c>
      <c r="AU122" s="107" t="s">
        <v>757</v>
      </c>
      <c r="AV122" s="107" t="str">
        <f t="shared" si="3"/>
        <v>Tonga</v>
      </c>
      <c r="AW122" s="107" t="s">
        <v>756</v>
      </c>
    </row>
    <row r="123" spans="40:49" x14ac:dyDescent="0.2">
      <c r="AN123" s="107" t="s">
        <v>502</v>
      </c>
      <c r="AO123" s="107" t="s">
        <v>503</v>
      </c>
      <c r="AP123" s="107" t="s">
        <v>503</v>
      </c>
      <c r="AT123" s="107" t="s">
        <v>1126</v>
      </c>
      <c r="AU123" s="107" t="s">
        <v>1127</v>
      </c>
      <c r="AV123" s="107" t="str">
        <f t="shared" si="3"/>
        <v>Turkish</v>
      </c>
      <c r="AW123" s="107" t="s">
        <v>758</v>
      </c>
    </row>
    <row r="124" spans="40:49" x14ac:dyDescent="0.2">
      <c r="AN124" s="107" t="s">
        <v>504</v>
      </c>
      <c r="AO124" s="107" t="s">
        <v>506</v>
      </c>
      <c r="AP124" s="107" t="s">
        <v>505</v>
      </c>
      <c r="AT124" s="107" t="s">
        <v>1128</v>
      </c>
      <c r="AU124" s="107" t="s">
        <v>1129</v>
      </c>
      <c r="AV124" s="107" t="str">
        <f t="shared" si="3"/>
        <v>Tsonga</v>
      </c>
      <c r="AW124" s="107" t="s">
        <v>1130</v>
      </c>
    </row>
    <row r="125" spans="40:49" x14ac:dyDescent="0.2">
      <c r="AN125" s="107" t="s">
        <v>507</v>
      </c>
      <c r="AO125" s="107" t="s">
        <v>509</v>
      </c>
      <c r="AP125" s="107" t="s">
        <v>508</v>
      </c>
      <c r="AT125" s="107" t="s">
        <v>1131</v>
      </c>
      <c r="AU125" s="107" t="s">
        <v>1132</v>
      </c>
      <c r="AV125" s="107" t="str">
        <f t="shared" si="3"/>
        <v>Tatar</v>
      </c>
      <c r="AW125" s="107" t="s">
        <v>761</v>
      </c>
    </row>
    <row r="126" spans="40:49" x14ac:dyDescent="0.2">
      <c r="AN126" s="107" t="s">
        <v>510</v>
      </c>
      <c r="AO126" s="107" t="s">
        <v>511</v>
      </c>
      <c r="AP126" s="107" t="s">
        <v>511</v>
      </c>
      <c r="AT126" s="107" t="s">
        <v>1133</v>
      </c>
      <c r="AU126" s="107" t="s">
        <v>1133</v>
      </c>
      <c r="AV126" s="107" t="str">
        <f t="shared" si="3"/>
        <v>Twi</v>
      </c>
      <c r="AW126" s="107" t="s">
        <v>766</v>
      </c>
    </row>
    <row r="127" spans="40:49" x14ac:dyDescent="0.2">
      <c r="AN127" s="107" t="s">
        <v>512</v>
      </c>
      <c r="AO127" s="107" t="s">
        <v>514</v>
      </c>
      <c r="AP127" s="107" t="s">
        <v>513</v>
      </c>
      <c r="AT127" s="107" t="s">
        <v>1134</v>
      </c>
      <c r="AU127" s="107" t="s">
        <v>1135</v>
      </c>
      <c r="AV127" s="107" t="str">
        <f t="shared" si="3"/>
        <v>Uighur</v>
      </c>
      <c r="AW127" s="107" t="s">
        <v>773</v>
      </c>
    </row>
    <row r="128" spans="40:49" x14ac:dyDescent="0.2">
      <c r="AN128" s="107" t="s">
        <v>515</v>
      </c>
      <c r="AO128" s="107" t="s">
        <v>516</v>
      </c>
      <c r="AP128" s="107" t="s">
        <v>516</v>
      </c>
      <c r="AT128" s="107" t="s">
        <v>1136</v>
      </c>
      <c r="AU128" s="107" t="s">
        <v>1137</v>
      </c>
      <c r="AV128" s="107" t="str">
        <f t="shared" si="3"/>
        <v>Ukrainian</v>
      </c>
      <c r="AW128" s="107" t="s">
        <v>1138</v>
      </c>
    </row>
    <row r="129" spans="40:49" x14ac:dyDescent="0.2">
      <c r="AN129" s="107" t="s">
        <v>517</v>
      </c>
      <c r="AO129" s="107" t="s">
        <v>518</v>
      </c>
      <c r="AP129" s="107" t="s">
        <v>518</v>
      </c>
      <c r="AT129" s="107" t="s">
        <v>1139</v>
      </c>
      <c r="AU129" s="107" t="s">
        <v>1139</v>
      </c>
      <c r="AV129" s="107" t="str">
        <f t="shared" si="3"/>
        <v>Urdu</v>
      </c>
      <c r="AW129" s="107" t="s">
        <v>1140</v>
      </c>
    </row>
    <row r="130" spans="40:49" x14ac:dyDescent="0.2">
      <c r="AN130" s="107" t="s">
        <v>519</v>
      </c>
      <c r="AO130" s="107" t="s">
        <v>520</v>
      </c>
      <c r="AP130" s="107" t="s">
        <v>520</v>
      </c>
      <c r="AT130" s="107" t="s">
        <v>1141</v>
      </c>
      <c r="AU130" s="107" t="s">
        <v>1142</v>
      </c>
      <c r="AV130" s="107" t="str">
        <f t="shared" ref="AV130:AV139" si="4">IF(Sprache=DE,AT130,AU130)</f>
        <v>Uzbek</v>
      </c>
      <c r="AW130" s="107" t="s">
        <v>780</v>
      </c>
    </row>
    <row r="131" spans="40:49" x14ac:dyDescent="0.2">
      <c r="AN131" s="107" t="s">
        <v>521</v>
      </c>
      <c r="AO131" s="107" t="s">
        <v>522</v>
      </c>
      <c r="AP131" s="107" t="s">
        <v>522</v>
      </c>
      <c r="AT131" s="107" t="s">
        <v>1143</v>
      </c>
      <c r="AU131" s="107" t="s">
        <v>1144</v>
      </c>
      <c r="AV131" s="107" t="str">
        <f t="shared" si="4"/>
        <v>Vietnamese</v>
      </c>
      <c r="AW131" s="107" t="s">
        <v>794</v>
      </c>
    </row>
    <row r="132" spans="40:49" x14ac:dyDescent="0.2">
      <c r="AN132" s="107" t="s">
        <v>523</v>
      </c>
      <c r="AO132" s="107" t="s">
        <v>524</v>
      </c>
      <c r="AP132" s="107" t="s">
        <v>524</v>
      </c>
      <c r="AT132" s="107" t="s">
        <v>1145</v>
      </c>
      <c r="AU132" s="107" t="s">
        <v>1145</v>
      </c>
      <c r="AV132" s="107" t="str">
        <f t="shared" si="4"/>
        <v>Volapük</v>
      </c>
      <c r="AW132" s="107" t="s">
        <v>1146</v>
      </c>
    </row>
    <row r="133" spans="40:49" x14ac:dyDescent="0.2">
      <c r="AN133" s="107" t="s">
        <v>525</v>
      </c>
      <c r="AO133" s="107" t="s">
        <v>527</v>
      </c>
      <c r="AP133" s="107" t="s">
        <v>526</v>
      </c>
      <c r="AT133" s="107" t="s">
        <v>1147</v>
      </c>
      <c r="AU133" s="107" t="s">
        <v>1147</v>
      </c>
      <c r="AV133" s="107" t="str">
        <f t="shared" si="4"/>
        <v>Wolof</v>
      </c>
      <c r="AW133" s="107" t="s">
        <v>1148</v>
      </c>
    </row>
    <row r="134" spans="40:49" x14ac:dyDescent="0.2">
      <c r="AN134" s="107" t="s">
        <v>528</v>
      </c>
      <c r="AO134" s="107" t="s">
        <v>530</v>
      </c>
      <c r="AP134" s="107" t="s">
        <v>529</v>
      </c>
      <c r="AT134" s="107" t="s">
        <v>1149</v>
      </c>
      <c r="AU134" s="107" t="s">
        <v>1149</v>
      </c>
      <c r="AV134" s="107" t="str">
        <f t="shared" si="4"/>
        <v>Xhosa</v>
      </c>
      <c r="AW134" s="107" t="s">
        <v>1150</v>
      </c>
    </row>
    <row r="135" spans="40:49" x14ac:dyDescent="0.2">
      <c r="AN135" s="107" t="s">
        <v>531</v>
      </c>
      <c r="AO135" s="107" t="s">
        <v>533</v>
      </c>
      <c r="AP135" s="107" t="s">
        <v>532</v>
      </c>
      <c r="AT135" s="107" t="s">
        <v>1151</v>
      </c>
      <c r="AU135" s="107" t="s">
        <v>1152</v>
      </c>
      <c r="AV135" s="107" t="str">
        <f t="shared" si="4"/>
        <v>Yiddish</v>
      </c>
      <c r="AW135" s="107" t="s">
        <v>1153</v>
      </c>
    </row>
    <row r="136" spans="40:49" x14ac:dyDescent="0.2">
      <c r="AN136" s="107" t="s">
        <v>534</v>
      </c>
      <c r="AO136" s="107" t="s">
        <v>536</v>
      </c>
      <c r="AP136" s="107" t="s">
        <v>535</v>
      </c>
      <c r="AT136" s="107" t="s">
        <v>1154</v>
      </c>
      <c r="AU136" s="107" t="s">
        <v>1155</v>
      </c>
      <c r="AV136" s="107" t="str">
        <f t="shared" si="4"/>
        <v>Yoruba</v>
      </c>
      <c r="AW136" s="107" t="s">
        <v>1156</v>
      </c>
    </row>
    <row r="137" spans="40:49" x14ac:dyDescent="0.2">
      <c r="AN137" s="107" t="s">
        <v>30</v>
      </c>
      <c r="AO137" s="107" t="s">
        <v>538</v>
      </c>
      <c r="AP137" s="107" t="s">
        <v>537</v>
      </c>
      <c r="AT137" s="107" t="s">
        <v>1157</v>
      </c>
      <c r="AU137" s="107" t="s">
        <v>1157</v>
      </c>
      <c r="AV137" s="107" t="str">
        <f t="shared" si="4"/>
        <v>Zhuang</v>
      </c>
      <c r="AW137" s="107" t="s">
        <v>810</v>
      </c>
    </row>
    <row r="138" spans="40:49" x14ac:dyDescent="0.2">
      <c r="AN138" s="107" t="s">
        <v>539</v>
      </c>
      <c r="AO138" s="107" t="s">
        <v>540</v>
      </c>
      <c r="AP138" s="107" t="s">
        <v>540</v>
      </c>
      <c r="AT138" s="107" t="s">
        <v>1158</v>
      </c>
      <c r="AU138" s="107" t="s">
        <v>1159</v>
      </c>
      <c r="AV138" s="107" t="str">
        <f t="shared" si="4"/>
        <v>Chinese</v>
      </c>
      <c r="AW138" s="107" t="s">
        <v>1160</v>
      </c>
    </row>
    <row r="139" spans="40:49" x14ac:dyDescent="0.2">
      <c r="AN139" s="107" t="s">
        <v>541</v>
      </c>
      <c r="AO139" s="107" t="s">
        <v>543</v>
      </c>
      <c r="AP139" s="107" t="s">
        <v>542</v>
      </c>
      <c r="AT139" s="107" t="s">
        <v>1161</v>
      </c>
      <c r="AU139" s="107" t="s">
        <v>1161</v>
      </c>
      <c r="AV139" s="107" t="str">
        <f t="shared" si="4"/>
        <v>Zulu</v>
      </c>
      <c r="AW139" s="107" t="s">
        <v>1162</v>
      </c>
    </row>
    <row r="140" spans="40:49" x14ac:dyDescent="0.2">
      <c r="AN140" s="107" t="s">
        <v>544</v>
      </c>
      <c r="AO140" s="107" t="s">
        <v>545</v>
      </c>
      <c r="AP140" s="107" t="s">
        <v>545</v>
      </c>
    </row>
    <row r="141" spans="40:49" x14ac:dyDescent="0.2">
      <c r="AN141" s="107" t="s">
        <v>546</v>
      </c>
      <c r="AO141" s="107" t="s">
        <v>547</v>
      </c>
      <c r="AP141" s="107" t="s">
        <v>547</v>
      </c>
    </row>
    <row r="142" spans="40:49" x14ac:dyDescent="0.2">
      <c r="AN142" s="107" t="s">
        <v>548</v>
      </c>
      <c r="AO142" s="107" t="s">
        <v>550</v>
      </c>
      <c r="AP142" s="107" t="s">
        <v>549</v>
      </c>
    </row>
    <row r="143" spans="40:49" x14ac:dyDescent="0.2">
      <c r="AN143" s="107" t="s">
        <v>551</v>
      </c>
      <c r="AO143" s="107" t="s">
        <v>553</v>
      </c>
      <c r="AP143" s="107" t="s">
        <v>552</v>
      </c>
    </row>
    <row r="144" spans="40:49" x14ac:dyDescent="0.2">
      <c r="AN144" s="107" t="s">
        <v>554</v>
      </c>
      <c r="AO144" s="107" t="s">
        <v>556</v>
      </c>
      <c r="AP144" s="107" t="s">
        <v>555</v>
      </c>
    </row>
    <row r="145" spans="40:42" x14ac:dyDescent="0.2">
      <c r="AN145" s="107" t="s">
        <v>557</v>
      </c>
      <c r="AO145" s="107" t="s">
        <v>558</v>
      </c>
      <c r="AP145" s="107" t="s">
        <v>558</v>
      </c>
    </row>
    <row r="146" spans="40:42" x14ac:dyDescent="0.2">
      <c r="AN146" s="107" t="s">
        <v>559</v>
      </c>
      <c r="AO146" s="107" t="s">
        <v>561</v>
      </c>
      <c r="AP146" s="107" t="s">
        <v>560</v>
      </c>
    </row>
    <row r="147" spans="40:42" x14ac:dyDescent="0.2">
      <c r="AN147" s="107" t="s">
        <v>562</v>
      </c>
      <c r="AO147" s="107" t="s">
        <v>564</v>
      </c>
      <c r="AP147" s="107" t="s">
        <v>563</v>
      </c>
    </row>
    <row r="148" spans="40:42" x14ac:dyDescent="0.2">
      <c r="AN148" s="107" t="s">
        <v>565</v>
      </c>
      <c r="AO148" s="107" t="s">
        <v>566</v>
      </c>
      <c r="AP148" s="107" t="s">
        <v>566</v>
      </c>
    </row>
    <row r="149" spans="40:42" x14ac:dyDescent="0.2">
      <c r="AN149" s="107" t="s">
        <v>567</v>
      </c>
      <c r="AO149" s="107" t="s">
        <v>569</v>
      </c>
      <c r="AP149" s="107" t="s">
        <v>568</v>
      </c>
    </row>
    <row r="150" spans="40:42" x14ac:dyDescent="0.2">
      <c r="AN150" s="107" t="s">
        <v>570</v>
      </c>
      <c r="AO150" s="107" t="s">
        <v>571</v>
      </c>
      <c r="AP150" s="107" t="s">
        <v>571</v>
      </c>
    </row>
    <row r="151" spans="40:42" x14ac:dyDescent="0.2">
      <c r="AN151" s="107" t="s">
        <v>572</v>
      </c>
      <c r="AO151" s="107" t="s">
        <v>574</v>
      </c>
      <c r="AP151" s="107" t="s">
        <v>573</v>
      </c>
    </row>
    <row r="152" spans="40:42" x14ac:dyDescent="0.2">
      <c r="AN152" s="107" t="s">
        <v>575</v>
      </c>
      <c r="AO152" s="107" t="s">
        <v>576</v>
      </c>
      <c r="AP152" s="107" t="s">
        <v>576</v>
      </c>
    </row>
    <row r="153" spans="40:42" x14ac:dyDescent="0.2">
      <c r="AN153" s="107" t="s">
        <v>577</v>
      </c>
      <c r="AO153" s="107" t="s">
        <v>578</v>
      </c>
      <c r="AP153" s="107" t="s">
        <v>578</v>
      </c>
    </row>
    <row r="154" spans="40:42" x14ac:dyDescent="0.2">
      <c r="AN154" s="107" t="s">
        <v>579</v>
      </c>
      <c r="AO154" s="107" t="s">
        <v>580</v>
      </c>
      <c r="AP154" s="107" t="s">
        <v>580</v>
      </c>
    </row>
    <row r="155" spans="40:42" x14ac:dyDescent="0.2">
      <c r="AN155" s="107" t="s">
        <v>581</v>
      </c>
      <c r="AO155" s="107" t="s">
        <v>583</v>
      </c>
      <c r="AP155" s="107" t="s">
        <v>582</v>
      </c>
    </row>
    <row r="156" spans="40:42" x14ac:dyDescent="0.2">
      <c r="AN156" s="107" t="s">
        <v>584</v>
      </c>
      <c r="AO156" s="107" t="s">
        <v>585</v>
      </c>
      <c r="AP156" s="107" t="s">
        <v>585</v>
      </c>
    </row>
    <row r="157" spans="40:42" x14ac:dyDescent="0.2">
      <c r="AN157" s="107" t="s">
        <v>586</v>
      </c>
      <c r="AO157" s="107" t="s">
        <v>588</v>
      </c>
      <c r="AP157" s="107" t="s">
        <v>587</v>
      </c>
    </row>
    <row r="158" spans="40:42" x14ac:dyDescent="0.2">
      <c r="AN158" s="107" t="s">
        <v>589</v>
      </c>
      <c r="AO158" s="107" t="s">
        <v>590</v>
      </c>
      <c r="AP158" s="107" t="s">
        <v>590</v>
      </c>
    </row>
    <row r="159" spans="40:42" x14ac:dyDescent="0.2">
      <c r="AN159" s="107" t="s">
        <v>591</v>
      </c>
      <c r="AO159" s="107" t="s">
        <v>593</v>
      </c>
      <c r="AP159" s="107" t="s">
        <v>592</v>
      </c>
    </row>
    <row r="160" spans="40:42" x14ac:dyDescent="0.2">
      <c r="AN160" s="107" t="s">
        <v>594</v>
      </c>
      <c r="AO160" s="107" t="s">
        <v>595</v>
      </c>
      <c r="AP160" s="107" t="s">
        <v>595</v>
      </c>
    </row>
    <row r="161" spans="40:42" x14ac:dyDescent="0.2">
      <c r="AN161" s="107" t="s">
        <v>596</v>
      </c>
      <c r="AO161" s="107" t="s">
        <v>598</v>
      </c>
      <c r="AP161" s="107" t="s">
        <v>597</v>
      </c>
    </row>
    <row r="162" spans="40:42" x14ac:dyDescent="0.2">
      <c r="AN162" s="107" t="s">
        <v>599</v>
      </c>
      <c r="AO162" s="107" t="s">
        <v>600</v>
      </c>
      <c r="AP162" s="107" t="s">
        <v>600</v>
      </c>
    </row>
    <row r="163" spans="40:42" x14ac:dyDescent="0.2">
      <c r="AN163" s="107" t="s">
        <v>601</v>
      </c>
      <c r="AO163" s="107" t="s">
        <v>603</v>
      </c>
      <c r="AP163" s="107" t="s">
        <v>602</v>
      </c>
    </row>
    <row r="164" spans="40:42" x14ac:dyDescent="0.2">
      <c r="AN164" s="107" t="s">
        <v>604</v>
      </c>
      <c r="AO164" s="107" t="s">
        <v>605</v>
      </c>
      <c r="AP164" s="107" t="s">
        <v>605</v>
      </c>
    </row>
    <row r="165" spans="40:42" x14ac:dyDescent="0.2">
      <c r="AN165" s="107" t="s">
        <v>606</v>
      </c>
      <c r="AO165" s="107" t="s">
        <v>607</v>
      </c>
      <c r="AP165" s="107" t="s">
        <v>607</v>
      </c>
    </row>
    <row r="166" spans="40:42" x14ac:dyDescent="0.2">
      <c r="AN166" s="107" t="s">
        <v>608</v>
      </c>
      <c r="AO166" s="107" t="s">
        <v>610</v>
      </c>
      <c r="AP166" s="107" t="s">
        <v>609</v>
      </c>
    </row>
    <row r="167" spans="40:42" x14ac:dyDescent="0.2">
      <c r="AN167" s="107" t="s">
        <v>611</v>
      </c>
      <c r="AO167" s="107" t="s">
        <v>613</v>
      </c>
      <c r="AP167" s="107" t="s">
        <v>612</v>
      </c>
    </row>
    <row r="168" spans="40:42" x14ac:dyDescent="0.2">
      <c r="AN168" s="107" t="s">
        <v>614</v>
      </c>
      <c r="AO168" s="107" t="s">
        <v>615</v>
      </c>
      <c r="AP168" s="107" t="s">
        <v>615</v>
      </c>
    </row>
    <row r="169" spans="40:42" x14ac:dyDescent="0.2">
      <c r="AN169" s="107" t="s">
        <v>616</v>
      </c>
      <c r="AO169" s="107" t="s">
        <v>617</v>
      </c>
      <c r="AP169" s="107" t="s">
        <v>617</v>
      </c>
    </row>
    <row r="170" spans="40:42" x14ac:dyDescent="0.2">
      <c r="AN170" s="107" t="s">
        <v>618</v>
      </c>
      <c r="AO170" s="107" t="s">
        <v>619</v>
      </c>
      <c r="AP170" s="107" t="s">
        <v>619</v>
      </c>
    </row>
    <row r="171" spans="40:42" x14ac:dyDescent="0.2">
      <c r="AN171" s="107" t="s">
        <v>620</v>
      </c>
      <c r="AO171" s="107" t="s">
        <v>622</v>
      </c>
      <c r="AP171" s="107" t="s">
        <v>621</v>
      </c>
    </row>
    <row r="172" spans="40:42" x14ac:dyDescent="0.2">
      <c r="AN172" s="107" t="s">
        <v>623</v>
      </c>
      <c r="AO172" s="107" t="s">
        <v>624</v>
      </c>
      <c r="AP172" s="107" t="s">
        <v>624</v>
      </c>
    </row>
    <row r="173" spans="40:42" x14ac:dyDescent="0.2">
      <c r="AN173" s="107" t="s">
        <v>625</v>
      </c>
      <c r="AO173" s="107" t="s">
        <v>626</v>
      </c>
      <c r="AP173" s="107" t="s">
        <v>626</v>
      </c>
    </row>
    <row r="174" spans="40:42" x14ac:dyDescent="0.2">
      <c r="AN174" s="107" t="s">
        <v>627</v>
      </c>
      <c r="AO174" s="107" t="s">
        <v>628</v>
      </c>
      <c r="AP174" s="107" t="s">
        <v>628</v>
      </c>
    </row>
    <row r="175" spans="40:42" x14ac:dyDescent="0.2">
      <c r="AN175" s="107" t="s">
        <v>629</v>
      </c>
      <c r="AO175" s="107" t="s">
        <v>631</v>
      </c>
      <c r="AP175" s="107" t="s">
        <v>630</v>
      </c>
    </row>
    <row r="176" spans="40:42" x14ac:dyDescent="0.2">
      <c r="AN176" s="107" t="s">
        <v>632</v>
      </c>
      <c r="AO176" s="107" t="s">
        <v>634</v>
      </c>
      <c r="AP176" s="107" t="s">
        <v>633</v>
      </c>
    </row>
    <row r="177" spans="40:42" x14ac:dyDescent="0.2">
      <c r="AN177" s="107" t="s">
        <v>635</v>
      </c>
      <c r="AO177" s="107" t="s">
        <v>637</v>
      </c>
      <c r="AP177" s="107" t="s">
        <v>636</v>
      </c>
    </row>
    <row r="178" spans="40:42" x14ac:dyDescent="0.2">
      <c r="AN178" s="107" t="s">
        <v>638</v>
      </c>
      <c r="AO178" s="107" t="s">
        <v>639</v>
      </c>
      <c r="AP178" s="107" t="s">
        <v>639</v>
      </c>
    </row>
    <row r="179" spans="40:42" x14ac:dyDescent="0.2">
      <c r="AN179" s="107" t="s">
        <v>640</v>
      </c>
      <c r="AO179" s="107" t="s">
        <v>642</v>
      </c>
      <c r="AP179" s="107" t="s">
        <v>641</v>
      </c>
    </row>
    <row r="180" spans="40:42" x14ac:dyDescent="0.2">
      <c r="AN180" s="107" t="s">
        <v>643</v>
      </c>
      <c r="AO180" s="107" t="s">
        <v>645</v>
      </c>
      <c r="AP180" s="107" t="s">
        <v>644</v>
      </c>
    </row>
    <row r="181" spans="40:42" x14ac:dyDescent="0.2">
      <c r="AN181" s="107" t="s">
        <v>646</v>
      </c>
      <c r="AO181" s="107" t="s">
        <v>647</v>
      </c>
      <c r="AP181" s="107" t="s">
        <v>647</v>
      </c>
    </row>
    <row r="182" spans="40:42" x14ac:dyDescent="0.2">
      <c r="AN182" s="107" t="s">
        <v>648</v>
      </c>
      <c r="AO182" s="107" t="s">
        <v>649</v>
      </c>
      <c r="AP182" s="107" t="s">
        <v>649</v>
      </c>
    </row>
    <row r="183" spans="40:42" x14ac:dyDescent="0.2">
      <c r="AN183" s="107" t="s">
        <v>650</v>
      </c>
      <c r="AO183" s="107" t="s">
        <v>652</v>
      </c>
      <c r="AP183" s="107" t="s">
        <v>651</v>
      </c>
    </row>
    <row r="184" spans="40:42" x14ac:dyDescent="0.2">
      <c r="AN184" s="107" t="s">
        <v>653</v>
      </c>
      <c r="AO184" s="107" t="s">
        <v>654</v>
      </c>
      <c r="AP184" s="107" t="s">
        <v>654</v>
      </c>
    </row>
    <row r="185" spans="40:42" x14ac:dyDescent="0.2">
      <c r="AN185" s="107" t="s">
        <v>655</v>
      </c>
      <c r="AO185" s="107" t="s">
        <v>656</v>
      </c>
      <c r="AP185" s="107" t="s">
        <v>656</v>
      </c>
    </row>
    <row r="186" spans="40:42" x14ac:dyDescent="0.2">
      <c r="AN186" s="107" t="s">
        <v>657</v>
      </c>
      <c r="AO186" s="107" t="s">
        <v>658</v>
      </c>
      <c r="AP186" s="107" t="s">
        <v>658</v>
      </c>
    </row>
    <row r="187" spans="40:42" x14ac:dyDescent="0.2">
      <c r="AN187" s="107" t="s">
        <v>659</v>
      </c>
      <c r="AO187" s="107" t="s">
        <v>660</v>
      </c>
      <c r="AP187" s="107" t="s">
        <v>660</v>
      </c>
    </row>
    <row r="188" spans="40:42" x14ac:dyDescent="0.2">
      <c r="AN188" s="107" t="s">
        <v>661</v>
      </c>
      <c r="AO188" s="107" t="s">
        <v>662</v>
      </c>
      <c r="AP188" s="107" t="s">
        <v>662</v>
      </c>
    </row>
    <row r="189" spans="40:42" x14ac:dyDescent="0.2">
      <c r="AN189" s="107" t="s">
        <v>663</v>
      </c>
      <c r="AO189" s="107" t="s">
        <v>665</v>
      </c>
      <c r="AP189" s="107" t="s">
        <v>664</v>
      </c>
    </row>
    <row r="190" spans="40:42" x14ac:dyDescent="0.2">
      <c r="AN190" s="107" t="s">
        <v>666</v>
      </c>
      <c r="AO190" s="107" t="s">
        <v>668</v>
      </c>
      <c r="AP190" s="107" t="s">
        <v>667</v>
      </c>
    </row>
    <row r="191" spans="40:42" x14ac:dyDescent="0.2">
      <c r="AN191" s="107" t="s">
        <v>669</v>
      </c>
      <c r="AO191" s="107" t="s">
        <v>671</v>
      </c>
      <c r="AP191" s="107" t="s">
        <v>670</v>
      </c>
    </row>
    <row r="192" spans="40:42" x14ac:dyDescent="0.2">
      <c r="AN192" s="107" t="s">
        <v>672</v>
      </c>
      <c r="AO192" s="107" t="s">
        <v>674</v>
      </c>
      <c r="AP192" s="107" t="s">
        <v>673</v>
      </c>
    </row>
    <row r="193" spans="40:42" x14ac:dyDescent="0.2">
      <c r="AN193" s="107" t="s">
        <v>32</v>
      </c>
      <c r="AO193" s="107" t="s">
        <v>676</v>
      </c>
      <c r="AP193" s="107" t="s">
        <v>675</v>
      </c>
    </row>
    <row r="194" spans="40:42" x14ac:dyDescent="0.2">
      <c r="AN194" s="107" t="s">
        <v>677</v>
      </c>
      <c r="AO194" s="107" t="s">
        <v>679</v>
      </c>
      <c r="AP194" s="107" t="s">
        <v>678</v>
      </c>
    </row>
    <row r="195" spans="40:42" x14ac:dyDescent="0.2">
      <c r="AN195" s="107" t="s">
        <v>680</v>
      </c>
      <c r="AO195" s="107" t="s">
        <v>682</v>
      </c>
      <c r="AP195" s="107" t="s">
        <v>681</v>
      </c>
    </row>
    <row r="196" spans="40:42" x14ac:dyDescent="0.2">
      <c r="AN196" s="107" t="s">
        <v>683</v>
      </c>
      <c r="AO196" s="107" t="s">
        <v>684</v>
      </c>
      <c r="AP196" s="107" t="s">
        <v>684</v>
      </c>
    </row>
    <row r="197" spans="40:42" x14ac:dyDescent="0.2">
      <c r="AN197" s="107" t="s">
        <v>685</v>
      </c>
      <c r="AO197" s="107" t="s">
        <v>687</v>
      </c>
      <c r="AP197" s="107" t="s">
        <v>686</v>
      </c>
    </row>
    <row r="198" spans="40:42" x14ac:dyDescent="0.2">
      <c r="AN198" s="107" t="s">
        <v>688</v>
      </c>
      <c r="AO198" s="107" t="s">
        <v>690</v>
      </c>
      <c r="AP198" s="107" t="s">
        <v>689</v>
      </c>
    </row>
    <row r="199" spans="40:42" x14ac:dyDescent="0.2">
      <c r="AN199" s="107" t="s">
        <v>691</v>
      </c>
      <c r="AO199" s="107" t="s">
        <v>693</v>
      </c>
      <c r="AP199" s="107" t="s">
        <v>692</v>
      </c>
    </row>
    <row r="200" spans="40:42" x14ac:dyDescent="0.2">
      <c r="AN200" s="107" t="s">
        <v>694</v>
      </c>
      <c r="AO200" s="107" t="s">
        <v>696</v>
      </c>
      <c r="AP200" s="107" t="s">
        <v>695</v>
      </c>
    </row>
    <row r="201" spans="40:42" x14ac:dyDescent="0.2">
      <c r="AN201" s="107" t="s">
        <v>697</v>
      </c>
      <c r="AO201" s="107" t="s">
        <v>699</v>
      </c>
      <c r="AP201" s="107" t="s">
        <v>698</v>
      </c>
    </row>
    <row r="202" spans="40:42" x14ac:dyDescent="0.2">
      <c r="AN202" s="107" t="s">
        <v>700</v>
      </c>
      <c r="AO202" s="107" t="s">
        <v>702</v>
      </c>
      <c r="AP202" s="107" t="s">
        <v>701</v>
      </c>
    </row>
    <row r="203" spans="40:42" x14ac:dyDescent="0.2">
      <c r="AN203" s="107" t="s">
        <v>703</v>
      </c>
      <c r="AO203" s="107" t="s">
        <v>704</v>
      </c>
      <c r="AP203" s="107" t="s">
        <v>704</v>
      </c>
    </row>
    <row r="204" spans="40:42" x14ac:dyDescent="0.2">
      <c r="AN204" s="107" t="s">
        <v>705</v>
      </c>
      <c r="AO204" s="107" t="s">
        <v>706</v>
      </c>
      <c r="AP204" s="107" t="s">
        <v>706</v>
      </c>
    </row>
    <row r="205" spans="40:42" x14ac:dyDescent="0.2">
      <c r="AN205" s="107" t="s">
        <v>707</v>
      </c>
      <c r="AO205" s="107" t="s">
        <v>708</v>
      </c>
      <c r="AP205" s="107" t="s">
        <v>708</v>
      </c>
    </row>
    <row r="206" spans="40:42" x14ac:dyDescent="0.2">
      <c r="AN206" s="107" t="s">
        <v>709</v>
      </c>
      <c r="AO206" s="107" t="s">
        <v>710</v>
      </c>
      <c r="AP206" s="107" t="s">
        <v>710</v>
      </c>
    </row>
    <row r="207" spans="40:42" x14ac:dyDescent="0.2">
      <c r="AN207" s="107" t="s">
        <v>711</v>
      </c>
      <c r="AO207" s="107" t="s">
        <v>713</v>
      </c>
      <c r="AP207" s="107" t="s">
        <v>712</v>
      </c>
    </row>
    <row r="208" spans="40:42" x14ac:dyDescent="0.2">
      <c r="AN208" s="107" t="s">
        <v>714</v>
      </c>
      <c r="AO208" s="107" t="s">
        <v>716</v>
      </c>
      <c r="AP208" s="107" t="s">
        <v>715</v>
      </c>
    </row>
    <row r="209" spans="40:42" x14ac:dyDescent="0.2">
      <c r="AN209" s="107" t="s">
        <v>717</v>
      </c>
      <c r="AO209" s="107" t="s">
        <v>719</v>
      </c>
      <c r="AP209" s="107" t="s">
        <v>718</v>
      </c>
    </row>
    <row r="210" spans="40:42" x14ac:dyDescent="0.2">
      <c r="AN210" s="107" t="s">
        <v>720</v>
      </c>
      <c r="AO210" s="107" t="s">
        <v>721</v>
      </c>
      <c r="AP210" s="107" t="s">
        <v>721</v>
      </c>
    </row>
    <row r="211" spans="40:42" x14ac:dyDescent="0.2">
      <c r="AN211" s="107" t="s">
        <v>722</v>
      </c>
      <c r="AO211" s="107" t="s">
        <v>723</v>
      </c>
      <c r="AP211" s="107" t="s">
        <v>723</v>
      </c>
    </row>
    <row r="212" spans="40:42" x14ac:dyDescent="0.2">
      <c r="AN212" s="107" t="s">
        <v>724</v>
      </c>
      <c r="AO212" s="107" t="s">
        <v>726</v>
      </c>
      <c r="AP212" s="107" t="s">
        <v>725</v>
      </c>
    </row>
    <row r="213" spans="40:42" x14ac:dyDescent="0.2">
      <c r="AN213" s="107" t="s">
        <v>727</v>
      </c>
      <c r="AO213" s="107" t="s">
        <v>729</v>
      </c>
      <c r="AP213" s="107" t="s">
        <v>728</v>
      </c>
    </row>
    <row r="214" spans="40:42" x14ac:dyDescent="0.2">
      <c r="AN214" s="107" t="s">
        <v>730</v>
      </c>
      <c r="AO214" s="107" t="s">
        <v>732</v>
      </c>
      <c r="AP214" s="107" t="s">
        <v>731</v>
      </c>
    </row>
    <row r="215" spans="40:42" x14ac:dyDescent="0.2">
      <c r="AN215" s="107" t="s">
        <v>733</v>
      </c>
      <c r="AO215" s="107" t="s">
        <v>735</v>
      </c>
      <c r="AP215" s="107" t="s">
        <v>734</v>
      </c>
    </row>
    <row r="216" spans="40:42" x14ac:dyDescent="0.2">
      <c r="AN216" s="107" t="s">
        <v>736</v>
      </c>
      <c r="AO216" s="107" t="s">
        <v>738</v>
      </c>
      <c r="AP216" s="107" t="s">
        <v>737</v>
      </c>
    </row>
    <row r="217" spans="40:42" x14ac:dyDescent="0.2">
      <c r="AN217" s="107" t="s">
        <v>739</v>
      </c>
      <c r="AO217" s="107" t="s">
        <v>740</v>
      </c>
      <c r="AP217" s="107" t="s">
        <v>740</v>
      </c>
    </row>
    <row r="218" spans="40:42" x14ac:dyDescent="0.2">
      <c r="AN218" s="107" t="s">
        <v>741</v>
      </c>
      <c r="AO218" s="107" t="s">
        <v>742</v>
      </c>
      <c r="AP218" s="107" t="s">
        <v>742</v>
      </c>
    </row>
    <row r="219" spans="40:42" x14ac:dyDescent="0.2">
      <c r="AN219" s="107" t="s">
        <v>743</v>
      </c>
      <c r="AO219" s="107" t="s">
        <v>745</v>
      </c>
      <c r="AP219" s="107" t="s">
        <v>744</v>
      </c>
    </row>
    <row r="220" spans="40:42" x14ac:dyDescent="0.2">
      <c r="AN220" s="107" t="s">
        <v>746</v>
      </c>
      <c r="AO220" s="107" t="s">
        <v>747</v>
      </c>
      <c r="AP220" s="107" t="s">
        <v>747</v>
      </c>
    </row>
    <row r="221" spans="40:42" x14ac:dyDescent="0.2">
      <c r="AN221" s="107" t="s">
        <v>748</v>
      </c>
      <c r="AO221" s="107" t="s">
        <v>750</v>
      </c>
      <c r="AP221" s="107" t="s">
        <v>749</v>
      </c>
    </row>
    <row r="222" spans="40:42" x14ac:dyDescent="0.2">
      <c r="AN222" s="107" t="s">
        <v>751</v>
      </c>
      <c r="AO222" s="107" t="s">
        <v>752</v>
      </c>
      <c r="AP222" s="107" t="s">
        <v>752</v>
      </c>
    </row>
    <row r="223" spans="40:42" x14ac:dyDescent="0.2">
      <c r="AN223" s="107" t="s">
        <v>753</v>
      </c>
      <c r="AO223" s="107" t="s">
        <v>755</v>
      </c>
      <c r="AP223" s="107" t="s">
        <v>754</v>
      </c>
    </row>
    <row r="224" spans="40:42" x14ac:dyDescent="0.2">
      <c r="AN224" s="107" t="s">
        <v>756</v>
      </c>
      <c r="AO224" s="107" t="s">
        <v>757</v>
      </c>
      <c r="AP224" s="107" t="s">
        <v>757</v>
      </c>
    </row>
    <row r="225" spans="40:42" x14ac:dyDescent="0.2">
      <c r="AN225" s="107" t="s">
        <v>758</v>
      </c>
      <c r="AO225" s="107" t="s">
        <v>760</v>
      </c>
      <c r="AP225" s="107" t="s">
        <v>759</v>
      </c>
    </row>
    <row r="226" spans="40:42" x14ac:dyDescent="0.2">
      <c r="AN226" s="107" t="s">
        <v>761</v>
      </c>
      <c r="AO226" s="107" t="s">
        <v>763</v>
      </c>
      <c r="AP226" s="107" t="s">
        <v>762</v>
      </c>
    </row>
    <row r="227" spans="40:42" x14ac:dyDescent="0.2">
      <c r="AN227" s="107" t="s">
        <v>764</v>
      </c>
      <c r="AO227" s="107" t="s">
        <v>765</v>
      </c>
      <c r="AP227" s="107" t="s">
        <v>765</v>
      </c>
    </row>
    <row r="228" spans="40:42" x14ac:dyDescent="0.2">
      <c r="AN228" s="107" t="s">
        <v>766</v>
      </c>
      <c r="AO228" s="107" t="s">
        <v>767</v>
      </c>
      <c r="AP228" s="107" t="s">
        <v>767</v>
      </c>
    </row>
    <row r="229" spans="40:42" x14ac:dyDescent="0.2">
      <c r="AN229" s="107" t="s">
        <v>768</v>
      </c>
      <c r="AO229" s="107" t="s">
        <v>770</v>
      </c>
      <c r="AP229" s="107" t="s">
        <v>769</v>
      </c>
    </row>
    <row r="230" spans="40:42" x14ac:dyDescent="0.2">
      <c r="AN230" s="107" t="s">
        <v>771</v>
      </c>
      <c r="AO230" s="107" t="s">
        <v>772</v>
      </c>
      <c r="AP230" s="107" t="s">
        <v>772</v>
      </c>
    </row>
    <row r="231" spans="40:42" x14ac:dyDescent="0.2">
      <c r="AN231" s="107" t="s">
        <v>773</v>
      </c>
      <c r="AO231" s="107" t="s">
        <v>774</v>
      </c>
      <c r="AP231" s="107" t="s">
        <v>774</v>
      </c>
    </row>
    <row r="232" spans="40:42" x14ac:dyDescent="0.2">
      <c r="AN232" s="107" t="s">
        <v>775</v>
      </c>
      <c r="AO232" s="107" t="s">
        <v>777</v>
      </c>
      <c r="AP232" s="106" t="s">
        <v>776</v>
      </c>
    </row>
    <row r="233" spans="40:42" x14ac:dyDescent="0.2">
      <c r="AN233" s="107" t="s">
        <v>778</v>
      </c>
      <c r="AO233" s="107" t="s">
        <v>779</v>
      </c>
      <c r="AP233" s="107" t="s">
        <v>779</v>
      </c>
    </row>
    <row r="234" spans="40:42" x14ac:dyDescent="0.2">
      <c r="AN234" s="107" t="s">
        <v>780</v>
      </c>
      <c r="AO234" s="107" t="s">
        <v>782</v>
      </c>
      <c r="AP234" s="107" t="s">
        <v>781</v>
      </c>
    </row>
    <row r="235" spans="40:42" x14ac:dyDescent="0.2">
      <c r="AN235" s="107" t="s">
        <v>783</v>
      </c>
      <c r="AO235" s="107" t="s">
        <v>785</v>
      </c>
      <c r="AP235" s="107" t="s">
        <v>784</v>
      </c>
    </row>
    <row r="236" spans="40:42" x14ac:dyDescent="0.2">
      <c r="AN236" s="107" t="s">
        <v>786</v>
      </c>
      <c r="AO236" s="107" t="s">
        <v>788</v>
      </c>
      <c r="AP236" s="107" t="s">
        <v>787</v>
      </c>
    </row>
    <row r="237" spans="40:42" x14ac:dyDescent="0.2">
      <c r="AN237" s="107" t="s">
        <v>789</v>
      </c>
      <c r="AO237" s="107" t="s">
        <v>790</v>
      </c>
      <c r="AP237" s="107" t="s">
        <v>790</v>
      </c>
    </row>
    <row r="238" spans="40:42" x14ac:dyDescent="0.2">
      <c r="AN238" s="107" t="s">
        <v>791</v>
      </c>
      <c r="AO238" s="107" t="s">
        <v>793</v>
      </c>
      <c r="AP238" s="107" t="s">
        <v>792</v>
      </c>
    </row>
    <row r="239" spans="40:42" x14ac:dyDescent="0.2">
      <c r="AN239" s="107" t="s">
        <v>794</v>
      </c>
      <c r="AO239" s="107" t="s">
        <v>796</v>
      </c>
      <c r="AP239" s="107" t="s">
        <v>795</v>
      </c>
    </row>
    <row r="240" spans="40:42" x14ac:dyDescent="0.2">
      <c r="AN240" s="107" t="s">
        <v>797</v>
      </c>
      <c r="AO240" s="107" t="s">
        <v>798</v>
      </c>
      <c r="AP240" s="107" t="s">
        <v>798</v>
      </c>
    </row>
    <row r="241" spans="40:42" x14ac:dyDescent="0.2">
      <c r="AN241" s="107" t="s">
        <v>799</v>
      </c>
      <c r="AO241" s="107" t="s">
        <v>800</v>
      </c>
      <c r="AP241" s="107" t="s">
        <v>800</v>
      </c>
    </row>
    <row r="242" spans="40:42" x14ac:dyDescent="0.2">
      <c r="AN242" s="107" t="s">
        <v>801</v>
      </c>
      <c r="AO242" s="107" t="s">
        <v>803</v>
      </c>
      <c r="AP242" s="107" t="s">
        <v>802</v>
      </c>
    </row>
    <row r="243" spans="40:42" x14ac:dyDescent="0.2">
      <c r="AN243" s="107" t="s">
        <v>804</v>
      </c>
      <c r="AO243" s="107" t="s">
        <v>209</v>
      </c>
      <c r="AP243" s="107" t="s">
        <v>209</v>
      </c>
    </row>
    <row r="244" spans="40:42" x14ac:dyDescent="0.2">
      <c r="AN244" s="107" t="s">
        <v>805</v>
      </c>
      <c r="AO244" s="107" t="s">
        <v>807</v>
      </c>
      <c r="AP244" s="107" t="s">
        <v>806</v>
      </c>
    </row>
    <row r="245" spans="40:42" x14ac:dyDescent="0.2">
      <c r="AN245" s="107" t="s">
        <v>808</v>
      </c>
      <c r="AO245" s="107" t="s">
        <v>809</v>
      </c>
      <c r="AP245" s="107" t="s">
        <v>809</v>
      </c>
    </row>
    <row r="246" spans="40:42" x14ac:dyDescent="0.2">
      <c r="AN246" s="107" t="s">
        <v>810</v>
      </c>
      <c r="AO246" s="107" t="s">
        <v>812</v>
      </c>
      <c r="AP246" s="107" t="s">
        <v>811</v>
      </c>
    </row>
    <row r="247" spans="40:42" x14ac:dyDescent="0.2">
      <c r="AN247" s="107" t="s">
        <v>813</v>
      </c>
      <c r="AO247" s="107" t="s">
        <v>815</v>
      </c>
      <c r="AP247" s="107" t="s">
        <v>814</v>
      </c>
    </row>
    <row r="248" spans="40:42" x14ac:dyDescent="0.2">
      <c r="AN248" s="107" t="s">
        <v>816</v>
      </c>
      <c r="AO248" s="107" t="s">
        <v>817</v>
      </c>
      <c r="AP248" s="107" t="s">
        <v>817</v>
      </c>
    </row>
  </sheetData>
  <sheetProtection password="E9DA" sheet="1" objects="1" scenarios="1" selectLockedCells="1"/>
  <sortState ref="AN2:AP248">
    <sortCondition ref="AN2:AN248"/>
  </sortState>
  <mergeCells count="5">
    <mergeCell ref="AA1:AC1"/>
    <mergeCell ref="AI1:AJ1"/>
    <mergeCell ref="AY11:BD11"/>
    <mergeCell ref="AY7:AZ7"/>
    <mergeCell ref="AY9:AZ9"/>
  </mergeCells>
  <phoneticPr fontId="7" type="noConversion"/>
  <hyperlinks>
    <hyperlink ref="AO16" r:id="rId1" tooltip="Åland" display="http://de.wikipedia.org/wiki/%C3%85land"/>
    <hyperlink ref="AO30" r:id="rId2" tooltip="Besondere Gemeinde (Niederlande)" display="http://de.wikipedia.org/wiki/Besondere_Gemeinde_(Niederlande)"/>
    <hyperlink ref="AO104" r:id="rId3" tooltip="Isle of Man" display="http://de.wikipedia.org/wiki/Isle_of_Man"/>
  </hyperlinks>
  <pageMargins left="0.78740157499999996" right="0.78740157499999996" top="0.984251969" bottom="0.984251969" header="0.4921259845" footer="0.4921259845"/>
  <pageSetup paperSize="9" orientation="portrait" r:id="rId4"/>
  <headerFooter alignWithMargins="0"/>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4AA2422D924F4C9ECEDCFF7B72B6BE" ma:contentTypeVersion="15" ma:contentTypeDescription="Ein neues Dokument erstellen." ma:contentTypeScope="" ma:versionID="bed47495d5d54d93f4ceea5c58017a59">
  <xsd:schema xmlns:xsd="http://www.w3.org/2001/XMLSchema" xmlns:xs="http://www.w3.org/2001/XMLSchema" xmlns:p="http://schemas.microsoft.com/office/2006/metadata/properties" xmlns:ns1="http://schemas.microsoft.com/sharepoint/v3" xmlns:ns2="42A24AAF-922D-4C4F-9ECE-DCFF7B72B6BE" xmlns:ns3="http://schemas.microsoft.com/sharepoint/v4" xmlns:ns4="42a24aaf-922d-4c4f-9ece-dcff7b72b6be" targetNamespace="http://schemas.microsoft.com/office/2006/metadata/properties" ma:root="true" ma:fieldsID="a102cf30173a912f1a380c4fd237112a" ns1:_="" ns2:_="" ns3:_="" ns4:_="">
    <xsd:import namespace="http://schemas.microsoft.com/sharepoint/v3"/>
    <xsd:import namespace="42A24AAF-922D-4C4F-9ECE-DCFF7B72B6BE"/>
    <xsd:import namespace="http://schemas.microsoft.com/sharepoint/v4"/>
    <xsd:import namespace="42a24aaf-922d-4c4f-9ece-dcff7b72b6be"/>
    <xsd:element name="properties">
      <xsd:complexType>
        <xsd:sequence>
          <xsd:element name="documentManagement">
            <xsd:complexType>
              <xsd:all>
                <xsd:element ref="ns2:Standard" minOccurs="0"/>
                <xsd:element ref="ns2:Sprache" minOccurs="0"/>
                <xsd:element ref="ns2:Revision"/>
                <xsd:element ref="ns1:_ModerationComments" minOccurs="0"/>
                <xsd:element ref="ns1:File_x0020_Type" minOccurs="0"/>
                <xsd:element ref="ns1:HTML_x0020_File_x0020_Type" minOccurs="0"/>
                <xsd:element ref="ns1:_SourceUrl" minOccurs="0"/>
                <xsd:element ref="ns1:_SharedFileIndex"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ItemChildCount" minOccurs="0"/>
                <xsd:element ref="ns1:FolderChildCount"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3:IconOverlay" minOccurs="0"/>
                <xsd:element ref="ns4:Title0" minOccurs="0"/>
                <xsd:element ref="ns4:CS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5" nillable="true" ma:displayName="Kommentare zur Genehmigung" ma:hidden="true" ma:internalName="_ModerationComments" ma:readOnly="true">
      <xsd:simpleType>
        <xsd:restriction base="dms:Note"/>
      </xsd:simpleType>
    </xsd:element>
    <xsd:element name="File_x0020_Type" ma:index="8" nillable="true" ma:displayName="Dateityp" ma:hidden="true" ma:internalName="File_x0020_Type" ma:readOnly="true">
      <xsd:simpleType>
        <xsd:restriction base="dms:Text"/>
      </xsd:simpleType>
    </xsd:element>
    <xsd:element name="HTML_x0020_File_x0020_Type" ma:index="9" nillable="true" ma:displayName="HTML-Dateityp" ma:hidden="true" ma:internalName="HTML_x0020_File_x0020_Type" ma:readOnly="true">
      <xsd:simpleType>
        <xsd:restriction base="dms:Text"/>
      </xsd:simpleType>
    </xsd:element>
    <xsd:element name="_SourceUrl" ma:index="10" nillable="true" ma:displayName="Quell-URL" ma:hidden="true" ma:internalName="_SourceUrl">
      <xsd:simpleType>
        <xsd:restriction base="dms:Text"/>
      </xsd:simpleType>
    </xsd:element>
    <xsd:element name="_SharedFileIndex" ma:index="11" nillable="true" ma:displayName="Index für freigegebene Dateien" ma:hidden="true" ma:internalName="_SharedFileIndex">
      <xsd:simpleType>
        <xsd:restriction base="dms:Text"/>
      </xsd:simpleType>
    </xsd:element>
    <xsd:element name="ContentTypeId" ma:index="12" nillable="true" ma:displayName="Inhaltstyp-ID" ma:hidden="true" ma:internalName="ContentTypeId" ma:readOnly="true">
      <xsd:simpleType>
        <xsd:restriction base="dms:Unknown"/>
      </xsd:simpleType>
    </xsd:element>
    <xsd:element name="TemplateUrl" ma:index="13" nillable="true" ma:displayName="Vorlageverknüpfung" ma:hidden="true" ma:internalName="TemplateUrl">
      <xsd:simpleType>
        <xsd:restriction base="dms:Text"/>
      </xsd:simpleType>
    </xsd:element>
    <xsd:element name="xd_ProgID" ma:index="14" nillable="true" ma:displayName="HTML-Dateiverknüpfung" ma:hidden="true" ma:internalName="xd_ProgID">
      <xsd:simpleType>
        <xsd:restriction base="dms:Text"/>
      </xsd:simpleType>
    </xsd:element>
    <xsd:element name="xd_Signature" ma:index="15" nillable="true" ma:displayName="Ist signiert" ma:hidden="true" ma:internalName="xd_Signature" ma:readOnly="true">
      <xsd:simpleType>
        <xsd:restriction base="dms:Boolean"/>
      </xsd:simpleType>
    </xsd:element>
    <xsd:element name="ID" ma:index="16" nillable="true" ma:displayName="ID" ma:internalName="ID" ma:readOnly="true">
      <xsd:simpleType>
        <xsd:restriction base="dms:Unknown"/>
      </xsd:simpleType>
    </xsd:element>
    <xsd:element name="Author" ma:index="19" nillable="true" ma:displayName="Erstellt von"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1" nillable="true" ma:displayName="Geändert von"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2" nillable="true" ma:displayName="Hat Kopierziele" ma:hidden="true" ma:internalName="_HasCopyDestinations" ma:readOnly="true">
      <xsd:simpleType>
        <xsd:restriction base="dms:Boolean"/>
      </xsd:simpleType>
    </xsd:element>
    <xsd:element name="_CopySource" ma:index="23" nillable="true" ma:displayName="Kopiequelle" ma:internalName="_CopySource" ma:readOnly="true">
      <xsd:simpleType>
        <xsd:restriction base="dms:Text"/>
      </xsd:simpleType>
    </xsd:element>
    <xsd:element name="_ModerationStatus" ma:index="24" nillable="true" ma:displayName="Genehmigungsstatus" ma:default="0" ma:hidden="true" ma:internalName="_ModerationStatus" ma:readOnly="true">
      <xsd:simpleType>
        <xsd:restriction base="dms:Unknown"/>
      </xsd:simpleType>
    </xsd:element>
    <xsd:element name="FileRef" ma:index="25" nillable="true" ma:displayName="URL-Pfad" ma:hidden="true" ma:list="Docs" ma:internalName="FileRef" ma:readOnly="true" ma:showField="FullUrl">
      <xsd:simpleType>
        <xsd:restriction base="dms:Lookup"/>
      </xsd:simpleType>
    </xsd:element>
    <xsd:element name="FileDirRef" ma:index="26" nillable="true" ma:displayName="Pfad" ma:hidden="true" ma:list="Docs" ma:internalName="FileDirRef" ma:readOnly="true" ma:showField="DirName">
      <xsd:simpleType>
        <xsd:restriction base="dms:Lookup"/>
      </xsd:simpleType>
    </xsd:element>
    <xsd:element name="Last_x0020_Modified" ma:index="27" nillable="true" ma:displayName="Geändert" ma:format="TRUE" ma:hidden="true" ma:list="Docs" ma:internalName="Last_x0020_Modified" ma:readOnly="true" ma:showField="TimeLastModified">
      <xsd:simpleType>
        <xsd:restriction base="dms:Lookup"/>
      </xsd:simpleType>
    </xsd:element>
    <xsd:element name="Created_x0020_Date" ma:index="28" nillable="true" ma:displayName="Erstellt" ma:format="TRUE" ma:hidden="true" ma:list="Docs" ma:internalName="Created_x0020_Date" ma:readOnly="true" ma:showField="TimeCreated">
      <xsd:simpleType>
        <xsd:restriction base="dms:Lookup"/>
      </xsd:simpleType>
    </xsd:element>
    <xsd:element name="File_x0020_Size" ma:index="29" nillable="true" ma:displayName="Dateigröße" ma:format="TRUE" ma:hidden="true" ma:list="Docs" ma:internalName="File_x0020_Size" ma:readOnly="true" ma:showField="SizeInKB">
      <xsd:simpleType>
        <xsd:restriction base="dms:Lookup"/>
      </xsd:simpleType>
    </xsd:element>
    <xsd:element name="FSObjType" ma:index="30" nillable="true" ma:displayName="Elementtyp" ma:hidden="true" ma:list="Docs" ma:internalName="FSObjType" ma:readOnly="true" ma:showField="FSType">
      <xsd:simpleType>
        <xsd:restriction base="dms:Lookup"/>
      </xsd:simpleType>
    </xsd:element>
    <xsd:element name="SortBehavior" ma:index="31" nillable="true" ma:displayName="Sortierungsart" ma:hidden="true" ma:list="Docs" ma:internalName="SortBehavior" ma:readOnly="true" ma:showField="SortBehavior">
      <xsd:simpleType>
        <xsd:restriction base="dms:Lookup"/>
      </xsd:simpleType>
    </xsd:element>
    <xsd:element name="CheckedOutUserId" ma:index="33" nillable="true" ma:displayName="ID des Benutzers, der das Element ausgecheckt hat" ma:hidden="true" ma:list="Docs" ma:internalName="CheckedOutUserId" ma:readOnly="true" ma:showField="CheckoutUserId">
      <xsd:simpleType>
        <xsd:restriction base="dms:Lookup"/>
      </xsd:simpleType>
    </xsd:element>
    <xsd:element name="IsCheckedoutToLocal" ma:index="34" nillable="true" ma:displayName="Ist lokal ausgecheckt" ma:hidden="true" ma:list="Docs" ma:internalName="IsCheckedoutToLocal" ma:readOnly="true" ma:showField="IsCheckoutToLocal">
      <xsd:simpleType>
        <xsd:restriction base="dms:Lookup"/>
      </xsd:simpleType>
    </xsd:element>
    <xsd:element name="CheckoutUser" ma:index="35" nillable="true" ma:displayName="Ausgecheckt von" ma:list="UserInfo" ma:internalName="CheckoutUser"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6" nillable="true" ma:displayName="Eindeutige ID" ma:hidden="true" ma:list="Docs" ma:internalName="UniqueId" ma:readOnly="true" ma:showField="UniqueId">
      <xsd:simpleType>
        <xsd:restriction base="dms:Lookup"/>
      </xsd:simpleType>
    </xsd:element>
    <xsd:element name="SyncClientId" ma:index="37" nillable="true" ma:displayName="Client-ID" ma:hidden="true" ma:list="Docs" ma:internalName="SyncClientId" ma:readOnly="true" ma:showField="SyncClientId">
      <xsd:simpleType>
        <xsd:restriction base="dms:Lookup"/>
      </xsd:simpleType>
    </xsd:element>
    <xsd:element name="ProgId" ma:index="38" nillable="true" ma:displayName="ProgId" ma:hidden="true" ma:list="Docs" ma:internalName="ProgId" ma:readOnly="true" ma:showField="ProgId">
      <xsd:simpleType>
        <xsd:restriction base="dms:Lookup"/>
      </xsd:simpleType>
    </xsd:element>
    <xsd:element name="ScopeId" ma:index="39" nillable="true" ma:displayName="ScopeId" ma:hidden="true" ma:list="Docs" ma:internalName="ScopeId" ma:readOnly="true" ma:showField="ScopeId">
      <xsd:simpleType>
        <xsd:restriction base="dms:Lookup"/>
      </xsd:simpleType>
    </xsd:element>
    <xsd:element name="VirusStatus" ma:index="40" nillable="true" ma:displayName="Virenstatus" ma:format="TRUE" ma:hidden="true" ma:list="Docs" ma:internalName="VirusStatus" ma:readOnly="true" ma:showField="Size">
      <xsd:simpleType>
        <xsd:restriction base="dms:Lookup"/>
      </xsd:simpleType>
    </xsd:element>
    <xsd:element name="CheckedOutTitle" ma:index="41" nillable="true" ma:displayName="Ausgecheckt von" ma:format="TRUE" ma:hidden="true" ma:list="Docs" ma:internalName="CheckedOutTitle" ma:readOnly="true" ma:showField="CheckedOutTitle">
      <xsd:simpleType>
        <xsd:restriction base="dms:Lookup"/>
      </xsd:simpleType>
    </xsd:element>
    <xsd:element name="_CheckinComment" ma:index="42" nillable="true" ma:displayName="Kommentar zum Einchecken" ma:format="TRUE" ma:list="Docs" ma:internalName="_CheckinComment" ma:readOnly="true" ma:showField="CheckinComment">
      <xsd:simpleType>
        <xsd:restriction base="dms:Lookup"/>
      </xsd:simpleType>
    </xsd:element>
    <xsd:element name="MetaInfo" ma:index="55" nillable="true" ma:displayName="Eigenschaftenbehälter" ma:hidden="true" ma:list="Docs" ma:internalName="MetaInfo" ma:showField="MetaInfo">
      <xsd:simpleType>
        <xsd:restriction base="dms:Lookup"/>
      </xsd:simpleType>
    </xsd:element>
    <xsd:element name="_Level" ma:index="56" nillable="true" ma:displayName="Ebene" ma:hidden="true" ma:internalName="_Level" ma:readOnly="true">
      <xsd:simpleType>
        <xsd:restriction base="dms:Unknown"/>
      </xsd:simpleType>
    </xsd:element>
    <xsd:element name="_IsCurrentVersion" ma:index="57" nillable="true" ma:displayName="Ist aktuelle Version" ma:hidden="true" ma:internalName="_IsCurrentVersion" ma:readOnly="true">
      <xsd:simpleType>
        <xsd:restriction base="dms:Boolean"/>
      </xsd:simpleType>
    </xsd:element>
    <xsd:element name="ItemChildCount" ma:index="58" nillable="true" ma:displayName="Untergeordnete Elementanzahl" ma:hidden="true" ma:list="Docs" ma:internalName="ItemChildCount" ma:readOnly="true" ma:showField="ItemChildCount">
      <xsd:simpleType>
        <xsd:restriction base="dms:Lookup"/>
      </xsd:simpleType>
    </xsd:element>
    <xsd:element name="FolderChildCount" ma:index="59" nillable="true" ma:displayName="Untergeordnete Ordneranzahl" ma:hidden="true" ma:list="Docs" ma:internalName="FolderChildCount" ma:readOnly="true" ma:showField="FolderChildCount">
      <xsd:simpleType>
        <xsd:restriction base="dms:Lookup"/>
      </xsd:simpleType>
    </xsd:element>
    <xsd:element name="owshiddenversion" ma:index="63" nillable="true" ma:displayName="owshiddenversion" ma:hidden="true" ma:internalName="owshiddenversion" ma:readOnly="true">
      <xsd:simpleType>
        <xsd:restriction base="dms:Unknown"/>
      </xsd:simpleType>
    </xsd:element>
    <xsd:element name="_UIVersion" ma:index="64" nillable="true" ma:displayName="Benutzeroberflächenversion" ma:hidden="true" ma:internalName="_UIVersion" ma:readOnly="true">
      <xsd:simpleType>
        <xsd:restriction base="dms:Unknown"/>
      </xsd:simpleType>
    </xsd:element>
    <xsd:element name="_UIVersionString" ma:index="65" nillable="true" ma:displayName="Version" ma:internalName="_UIVersionString" ma:readOnly="true">
      <xsd:simpleType>
        <xsd:restriction base="dms:Text"/>
      </xsd:simpleType>
    </xsd:element>
    <xsd:element name="InstanceID" ma:index="66" nillable="true" ma:displayName="Instanz-ID" ma:hidden="true" ma:internalName="InstanceID" ma:readOnly="true">
      <xsd:simpleType>
        <xsd:restriction base="dms:Unknown"/>
      </xsd:simpleType>
    </xsd:element>
    <xsd:element name="Order" ma:index="67" nillable="true" ma:displayName="Reihenfolge" ma:hidden="true" ma:internalName="Order">
      <xsd:simpleType>
        <xsd:restriction base="dms:Number"/>
      </xsd:simpleType>
    </xsd:element>
    <xsd:element name="GUID" ma:index="68" nillable="true" ma:displayName="GUID" ma:hidden="true" ma:internalName="GUID" ma:readOnly="true">
      <xsd:simpleType>
        <xsd:restriction base="dms:Unknown"/>
      </xsd:simpleType>
    </xsd:element>
    <xsd:element name="WorkflowVersion" ma:index="69" nillable="true" ma:displayName="Workflowversion" ma:hidden="true" ma:internalName="WorkflowVersion" ma:readOnly="true">
      <xsd:simpleType>
        <xsd:restriction base="dms:Unknown"/>
      </xsd:simpleType>
    </xsd:element>
    <xsd:element name="WorkflowInstanceID" ma:index="70" nillable="true" ma:displayName="Workflowinstanz-ID" ma:hidden="true" ma:internalName="WorkflowInstanceID" ma:readOnly="true">
      <xsd:simpleType>
        <xsd:restriction base="dms:Unknown"/>
      </xsd:simpleType>
    </xsd:element>
    <xsd:element name="ParentVersionString" ma:index="71" nillable="true" ma:displayName="Quellenversion (konvertiertes Dokument)" ma:hidden="true" ma:list="Docs" ma:internalName="ParentVersionString" ma:readOnly="true" ma:showField="ParentVersionString">
      <xsd:simpleType>
        <xsd:restriction base="dms:Lookup"/>
      </xsd:simpleType>
    </xsd:element>
    <xsd:element name="ParentLeafName" ma:index="72" nillable="true" ma:displayName="Quellenname (konvertiertes Dokument)" ma:hidden="true" ma:list="Docs" ma:internalName="ParentLeafName" ma:readOnly="true" ma:showField="ParentLeafName">
      <xsd:simpleType>
        <xsd:restriction base="dms:Lookup"/>
      </xsd:simpleType>
    </xsd:element>
    <xsd:element name="DocConcurrencyNumber" ma:index="73" nillable="true" ma:displayName="Nummer des für Parallelitätsprüfungen verwendeten Dokuments"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2A24AAF-922D-4C4F-9ECE-DCFF7B72B6BE" elementFormDefault="qualified">
    <xsd:import namespace="http://schemas.microsoft.com/office/2006/documentManagement/types"/>
    <xsd:import namespace="http://schemas.microsoft.com/office/infopath/2007/PartnerControls"/>
    <xsd:element name="Standard" ma:index="2" nillable="true" ma:displayName="Standard" ma:default="---" ma:internalName="Standard" ma:requiredMultiChoice="true">
      <xsd:complexType>
        <xsd:complexContent>
          <xsd:extension base="dms:MultiChoice">
            <xsd:sequence>
              <xsd:element name="Value" maxOccurs="unbounded" minOccurs="0" nillable="true">
                <xsd:simpleType>
                  <xsd:restriction base="dms:Choice">
                    <xsd:enumeration value="---"/>
                    <xsd:enumeration value="ISO 9001"/>
                    <xsd:enumeration value="ISO 14001"/>
                    <xsd:enumeration value="TS 16949"/>
                    <xsd:enumeration value="VDA 6.x"/>
                    <xsd:enumeration value="OHSAS"/>
                    <xsd:enumeration value="PEFC"/>
                    <xsd:enumeration value="SCC"/>
                    <xsd:enumeration value="BS 7799"/>
                    <xsd:enumeration value="KBA"/>
                    <xsd:enumeration value="ISO 22000"/>
                    <xsd:enumeration value="EN/AS 9100ff"/>
                    <xsd:enumeration value="BRC"/>
                    <xsd:enumeration value="IOP"/>
                    <xsd:enumeration value="IFS"/>
                    <xsd:enumeration value="GMP"/>
                    <xsd:enumeration value="IFIS"/>
                    <xsd:enumeration value="QS Fleisch"/>
                    <xsd:enumeration value="QS Obst + Gemüse"/>
                    <xsd:enumeration value="EG Öko VO 2092/91"/>
                    <xsd:enumeration value="ISO 27001"/>
                    <xsd:enumeration value="ISO 22301"/>
                    <xsd:enumeration value="ISO 20000-1"/>
                  </xsd:restriction>
                </xsd:simpleType>
              </xsd:element>
            </xsd:sequence>
          </xsd:extension>
        </xsd:complexContent>
      </xsd:complexType>
    </xsd:element>
    <xsd:element name="Sprache" ma:index="3" nillable="true" ma:displayName="Sprache/Language" ma:internalName="Sprache" ma:readOnly="false">
      <xsd:complexType>
        <xsd:complexContent>
          <xsd:extension base="dms:MultiChoice">
            <xsd:sequence>
              <xsd:element name="Value" maxOccurs="unbounded" minOccurs="0" nillable="true">
                <xsd:simpleType>
                  <xsd:restriction base="dms:Choice">
                    <xsd:enumeration value="deutsch"/>
                    <xsd:enumeration value="english"/>
                  </xsd:restriction>
                </xsd:simpleType>
              </xsd:element>
            </xsd:sequence>
          </xsd:extension>
        </xsd:complexContent>
      </xsd:complexType>
    </xsd:element>
    <xsd:element name="Revision" ma:index="4" ma:displayName="Revision" ma:description="Revisionsnr. XX/MM.YY" ma:internalName="Revi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a24aaf-922d-4c4f-9ece-dcff7b72b6be" elementFormDefault="qualified">
    <xsd:import namespace="http://schemas.microsoft.com/office/2006/documentManagement/types"/>
    <xsd:import namespace="http://schemas.microsoft.com/office/infopath/2007/PartnerControls"/>
    <xsd:element name="Title0" ma:index="77" nillable="true" ma:displayName="Title" ma:internalName="Title0">
      <xsd:simpleType>
        <xsd:restriction base="dms:Text">
          <xsd:maxLength value="255"/>
        </xsd:restriction>
      </xsd:simpleType>
    </xsd:element>
    <xsd:element name="CSM" ma:index="78" nillable="true" ma:displayName="CSM" ma:internalName="CS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Revision xmlns="42A24AAF-922D-4C4F-9ECE-DCFF7B72B6BE">02/08.17</Revision>
    <Sprache xmlns="42A24AAF-922D-4C4F-9ECE-DCFF7B72B6BE">
      <Value>deutsch</Value>
    </Sprache>
    <IconOverlay xmlns="http://schemas.microsoft.com/sharepoint/v4" xsi:nil="true"/>
    <_SourceUrl xmlns="http://schemas.microsoft.com/sharepoint/v3" xsi:nil="true"/>
    <xd_ProgID xmlns="http://schemas.microsoft.com/sharepoint/v3" xsi:nil="true"/>
    <Standard xmlns="42A24AAF-922D-4C4F-9ECE-DCFF7B72B6BE">
      <Value>EN/AS 9100ff</Value>
    </Standard>
    <Order xmlns="http://schemas.microsoft.com/sharepoint/v3" xsi:nil="true"/>
    <_SharedFileIndex xmlns="http://schemas.microsoft.com/sharepoint/v3" xsi:nil="true"/>
    <MetaInfo xmlns="http://schemas.microsoft.com/sharepoint/v3" xsi:nil="true"/>
    <ContentTypeId xmlns="http://schemas.microsoft.com/sharepoint/v3">0x010100AF4AA2422D924F4C9ECEDCFF7B72B6BE</ContentTypeId>
    <Title0 xmlns="42a24aaf-922d-4c4f-9ece-dcff7b72b6be" xsi:nil="true"/>
    <CSM xmlns="42a24aaf-922d-4c4f-9ece-dcff7b72b6be" xsi:nil="true"/>
  </documentManagement>
</p:properties>
</file>

<file path=customXml/itemProps1.xml><?xml version="1.0" encoding="utf-8"?>
<ds:datastoreItem xmlns:ds="http://schemas.openxmlformats.org/officeDocument/2006/customXml" ds:itemID="{8A85B707-9A92-434B-A840-B4E97F83B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A24AAF-922D-4C4F-9ECE-DCFF7B72B6BE"/>
    <ds:schemaRef ds:uri="http://schemas.microsoft.com/sharepoint/v4"/>
    <ds:schemaRef ds:uri="42a24aaf-922d-4c4f-9ece-dcff7b72b6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9ECC90-2EB7-42BC-B5E3-B4AE51E1FB20}">
  <ds:schemaRefs>
    <ds:schemaRef ds:uri="http://schemas.microsoft.com/sharepoint/v3/contenttype/forms"/>
  </ds:schemaRefs>
</ds:datastoreItem>
</file>

<file path=customXml/itemProps3.xml><?xml version="1.0" encoding="utf-8"?>
<ds:datastoreItem xmlns:ds="http://schemas.openxmlformats.org/officeDocument/2006/customXml" ds:itemID="{6C6A0A25-1457-4D2B-A50E-E449F1270E36}">
  <ds:schemaRefs>
    <ds:schemaRef ds:uri="http://schemas.microsoft.com/office/2006/metadata/properties"/>
    <ds:schemaRef ds:uri="http://schemas.microsoft.com/office/infopath/2007/PartnerControls"/>
    <ds:schemaRef ds:uri="http://schemas.microsoft.com/sharepoint/v3"/>
    <ds:schemaRef ds:uri="42A24AAF-922D-4C4F-9ECE-DCFF7B72B6BE"/>
    <ds:schemaRef ds:uri="http://schemas.microsoft.com/sharepoint/v4"/>
    <ds:schemaRef ds:uri="42a24aaf-922d-4c4f-9ece-dcff7b72b6b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2252</vt:i4>
      </vt:variant>
    </vt:vector>
  </HeadingPairs>
  <TitlesOfParts>
    <vt:vector size="2256" baseType="lpstr">
      <vt:lpstr>Stammdaten</vt:lpstr>
      <vt:lpstr>Standortliste</vt:lpstr>
      <vt:lpstr>Bemerkungen</vt:lpstr>
      <vt:lpstr>TB-TA</vt:lpstr>
      <vt:lpstr>CBList!_FilterDatabase</vt:lpstr>
      <vt:lpstr>A1_1</vt:lpstr>
      <vt:lpstr>A1_2</vt:lpstr>
      <vt:lpstr>A1_3</vt:lpstr>
      <vt:lpstr>A2_1</vt:lpstr>
      <vt:lpstr>A2_2</vt:lpstr>
      <vt:lpstr>A2_3</vt:lpstr>
      <vt:lpstr>A3_1</vt:lpstr>
      <vt:lpstr>A3_2</vt:lpstr>
      <vt:lpstr>A3_3</vt:lpstr>
      <vt:lpstr>ActualCB</vt:lpstr>
      <vt:lpstr>Addition1</vt:lpstr>
      <vt:lpstr>Addition2</vt:lpstr>
      <vt:lpstr>Addition3</vt:lpstr>
      <vt:lpstr>AkkStatus</vt:lpstr>
      <vt:lpstr>Angepasst</vt:lpstr>
      <vt:lpstr>Ansprechpartner</vt:lpstr>
      <vt:lpstr>Appr145_1</vt:lpstr>
      <vt:lpstr>Appr145_2</vt:lpstr>
      <vt:lpstr>Appr145_3</vt:lpstr>
      <vt:lpstr>Appr21_1</vt:lpstr>
      <vt:lpstr>Appr21_2</vt:lpstr>
      <vt:lpstr>Appr21_3</vt:lpstr>
      <vt:lpstr>Appr21G_1</vt:lpstr>
      <vt:lpstr>Appr21G_2</vt:lpstr>
      <vt:lpstr>Appr21G_3</vt:lpstr>
      <vt:lpstr>ARD</vt:lpstr>
      <vt:lpstr>Art</vt:lpstr>
      <vt:lpstr>ArtKomplett</vt:lpstr>
      <vt:lpstr>ArtStandorte</vt:lpstr>
      <vt:lpstr>ArtTransfer</vt:lpstr>
      <vt:lpstr>Auditart1</vt:lpstr>
      <vt:lpstr>Auditart2</vt:lpstr>
      <vt:lpstr>Auditart3</vt:lpstr>
      <vt:lpstr>AuditArtenListe</vt:lpstr>
      <vt:lpstr>AuditartISO</vt:lpstr>
      <vt:lpstr>Auditauswahl</vt:lpstr>
      <vt:lpstr>Auditsprache</vt:lpstr>
      <vt:lpstr>Auditteamleiter</vt:lpstr>
      <vt:lpstr>AuditteamleiterEAC</vt:lpstr>
      <vt:lpstr>Auftragsverantwortlich</vt:lpstr>
      <vt:lpstr>Ausfüllanleitung</vt:lpstr>
      <vt:lpstr>Ausschluss</vt:lpstr>
      <vt:lpstr>Ausschluss1</vt:lpstr>
      <vt:lpstr>Ausschluss2</vt:lpstr>
      <vt:lpstr>Ausschluss3</vt:lpstr>
      <vt:lpstr>AusschlussISO</vt:lpstr>
      <vt:lpstr>AuswahlArtKunde</vt:lpstr>
      <vt:lpstr>Beobachter1</vt:lpstr>
      <vt:lpstr>Beobachter2</vt:lpstr>
      <vt:lpstr>Berater</vt:lpstr>
      <vt:lpstr>Bestätigt</vt:lpstr>
      <vt:lpstr>Campus</vt:lpstr>
      <vt:lpstr>CatA__001</vt:lpstr>
      <vt:lpstr>CatA__002</vt:lpstr>
      <vt:lpstr>CatA__003</vt:lpstr>
      <vt:lpstr>CatA__004</vt:lpstr>
      <vt:lpstr>CatA__005</vt:lpstr>
      <vt:lpstr>CatA__006</vt:lpstr>
      <vt:lpstr>CatA__007</vt:lpstr>
      <vt:lpstr>CatA__008</vt:lpstr>
      <vt:lpstr>CatA__009</vt:lpstr>
      <vt:lpstr>CatA__010</vt:lpstr>
      <vt:lpstr>CatA__011</vt:lpstr>
      <vt:lpstr>CatA__012</vt:lpstr>
      <vt:lpstr>CatA__013</vt:lpstr>
      <vt:lpstr>CatA__014</vt:lpstr>
      <vt:lpstr>CatA__015</vt:lpstr>
      <vt:lpstr>CatA__016</vt:lpstr>
      <vt:lpstr>CatA__017</vt:lpstr>
      <vt:lpstr>CatA__018</vt:lpstr>
      <vt:lpstr>CatA__019</vt:lpstr>
      <vt:lpstr>CatA__020</vt:lpstr>
      <vt:lpstr>CatA__021</vt:lpstr>
      <vt:lpstr>CatA__022</vt:lpstr>
      <vt:lpstr>CatA__023</vt:lpstr>
      <vt:lpstr>CatA__024</vt:lpstr>
      <vt:lpstr>CatA__025</vt:lpstr>
      <vt:lpstr>CatA__026</vt:lpstr>
      <vt:lpstr>CatA__027</vt:lpstr>
      <vt:lpstr>CatA__028</vt:lpstr>
      <vt:lpstr>CatA__029</vt:lpstr>
      <vt:lpstr>CatA__030</vt:lpstr>
      <vt:lpstr>CatA__031</vt:lpstr>
      <vt:lpstr>CatA__032</vt:lpstr>
      <vt:lpstr>CatA__033</vt:lpstr>
      <vt:lpstr>CatA__034</vt:lpstr>
      <vt:lpstr>CatA__035</vt:lpstr>
      <vt:lpstr>CatA__036</vt:lpstr>
      <vt:lpstr>CatA__037</vt:lpstr>
      <vt:lpstr>CatA__038</vt:lpstr>
      <vt:lpstr>CatA__039</vt:lpstr>
      <vt:lpstr>CatA__040</vt:lpstr>
      <vt:lpstr>CatA__041</vt:lpstr>
      <vt:lpstr>CatA__042</vt:lpstr>
      <vt:lpstr>CatA__043</vt:lpstr>
      <vt:lpstr>CatA__044</vt:lpstr>
      <vt:lpstr>CatA__045</vt:lpstr>
      <vt:lpstr>CatA__046</vt:lpstr>
      <vt:lpstr>CatA__047</vt:lpstr>
      <vt:lpstr>CatA__048</vt:lpstr>
      <vt:lpstr>CatA__049</vt:lpstr>
      <vt:lpstr>CatA__050</vt:lpstr>
      <vt:lpstr>CatA__051</vt:lpstr>
      <vt:lpstr>CatB__001</vt:lpstr>
      <vt:lpstr>CatB__002</vt:lpstr>
      <vt:lpstr>CatB__003</vt:lpstr>
      <vt:lpstr>CatB__004</vt:lpstr>
      <vt:lpstr>CatB__005</vt:lpstr>
      <vt:lpstr>CatB__006</vt:lpstr>
      <vt:lpstr>CatB__007</vt:lpstr>
      <vt:lpstr>CatB__008</vt:lpstr>
      <vt:lpstr>CatB__009</vt:lpstr>
      <vt:lpstr>CatB__010</vt:lpstr>
      <vt:lpstr>CatB__011</vt:lpstr>
      <vt:lpstr>CatB__012</vt:lpstr>
      <vt:lpstr>CatB__013</vt:lpstr>
      <vt:lpstr>CatB__014</vt:lpstr>
      <vt:lpstr>CatB__015</vt:lpstr>
      <vt:lpstr>CatB__016</vt:lpstr>
      <vt:lpstr>CatB__017</vt:lpstr>
      <vt:lpstr>CatB__018</vt:lpstr>
      <vt:lpstr>CatB__019</vt:lpstr>
      <vt:lpstr>CatB__020</vt:lpstr>
      <vt:lpstr>CatB__021</vt:lpstr>
      <vt:lpstr>CatB__022</vt:lpstr>
      <vt:lpstr>CatB__023</vt:lpstr>
      <vt:lpstr>CatB__024</vt:lpstr>
      <vt:lpstr>CatB__025</vt:lpstr>
      <vt:lpstr>CatB__026</vt:lpstr>
      <vt:lpstr>CatB__027</vt:lpstr>
      <vt:lpstr>CatB__028</vt:lpstr>
      <vt:lpstr>CatB__029</vt:lpstr>
      <vt:lpstr>CatB__030</vt:lpstr>
      <vt:lpstr>CatB__031</vt:lpstr>
      <vt:lpstr>CatB__032</vt:lpstr>
      <vt:lpstr>CatB__033</vt:lpstr>
      <vt:lpstr>CatB__034</vt:lpstr>
      <vt:lpstr>CatB__035</vt:lpstr>
      <vt:lpstr>CatB__036</vt:lpstr>
      <vt:lpstr>CatB__037</vt:lpstr>
      <vt:lpstr>CatB__038</vt:lpstr>
      <vt:lpstr>CatB__039</vt:lpstr>
      <vt:lpstr>CatB__040</vt:lpstr>
      <vt:lpstr>CatB__041</vt:lpstr>
      <vt:lpstr>CatB__042</vt:lpstr>
      <vt:lpstr>CatB__043</vt:lpstr>
      <vt:lpstr>CatB__044</vt:lpstr>
      <vt:lpstr>CatB__045</vt:lpstr>
      <vt:lpstr>CatB__046</vt:lpstr>
      <vt:lpstr>CatB__047</vt:lpstr>
      <vt:lpstr>CatB__048</vt:lpstr>
      <vt:lpstr>CatB__049</vt:lpstr>
      <vt:lpstr>CatB__050</vt:lpstr>
      <vt:lpstr>CatB__051</vt:lpstr>
      <vt:lpstr>CatC__001</vt:lpstr>
      <vt:lpstr>CatC__002</vt:lpstr>
      <vt:lpstr>CatC__003</vt:lpstr>
      <vt:lpstr>CatC__004</vt:lpstr>
      <vt:lpstr>CatC__005</vt:lpstr>
      <vt:lpstr>CatC__006</vt:lpstr>
      <vt:lpstr>CatC__007</vt:lpstr>
      <vt:lpstr>CatC__008</vt:lpstr>
      <vt:lpstr>CatC__009</vt:lpstr>
      <vt:lpstr>CatC__010</vt:lpstr>
      <vt:lpstr>CatC__011</vt:lpstr>
      <vt:lpstr>CatC__012</vt:lpstr>
      <vt:lpstr>CatC__013</vt:lpstr>
      <vt:lpstr>CatC__014</vt:lpstr>
      <vt:lpstr>CatC__015</vt:lpstr>
      <vt:lpstr>CatC__016</vt:lpstr>
      <vt:lpstr>CatC__017</vt:lpstr>
      <vt:lpstr>CatC__018</vt:lpstr>
      <vt:lpstr>CatC__019</vt:lpstr>
      <vt:lpstr>CatC__020</vt:lpstr>
      <vt:lpstr>CatC__021</vt:lpstr>
      <vt:lpstr>CatC__022</vt:lpstr>
      <vt:lpstr>CatC__023</vt:lpstr>
      <vt:lpstr>CatC__024</vt:lpstr>
      <vt:lpstr>CatC__025</vt:lpstr>
      <vt:lpstr>CatC__026</vt:lpstr>
      <vt:lpstr>CatC__027</vt:lpstr>
      <vt:lpstr>CatC__028</vt:lpstr>
      <vt:lpstr>CatC__029</vt:lpstr>
      <vt:lpstr>CatC__030</vt:lpstr>
      <vt:lpstr>CatC__031</vt:lpstr>
      <vt:lpstr>CatC__032</vt:lpstr>
      <vt:lpstr>CatC__033</vt:lpstr>
      <vt:lpstr>CatC__034</vt:lpstr>
      <vt:lpstr>CatC__035</vt:lpstr>
      <vt:lpstr>CatC__036</vt:lpstr>
      <vt:lpstr>CatC__037</vt:lpstr>
      <vt:lpstr>CatC__038</vt:lpstr>
      <vt:lpstr>CatC__039</vt:lpstr>
      <vt:lpstr>CatC__040</vt:lpstr>
      <vt:lpstr>CatC__041</vt:lpstr>
      <vt:lpstr>CatC__042</vt:lpstr>
      <vt:lpstr>CatC__043</vt:lpstr>
      <vt:lpstr>CatC__044</vt:lpstr>
      <vt:lpstr>CatC__045</vt:lpstr>
      <vt:lpstr>CatC__046</vt:lpstr>
      <vt:lpstr>CatC__047</vt:lpstr>
      <vt:lpstr>CatC__048</vt:lpstr>
      <vt:lpstr>CatC__049</vt:lpstr>
      <vt:lpstr>CatC__050</vt:lpstr>
      <vt:lpstr>CatC__051</vt:lpstr>
      <vt:lpstr>CatD__001</vt:lpstr>
      <vt:lpstr>CatD__002</vt:lpstr>
      <vt:lpstr>CatD__003</vt:lpstr>
      <vt:lpstr>CatD__004</vt:lpstr>
      <vt:lpstr>CatD__005</vt:lpstr>
      <vt:lpstr>CatD__006</vt:lpstr>
      <vt:lpstr>CatD__007</vt:lpstr>
      <vt:lpstr>CatD__008</vt:lpstr>
      <vt:lpstr>CatD__009</vt:lpstr>
      <vt:lpstr>CatD__010</vt:lpstr>
      <vt:lpstr>CatD__011</vt:lpstr>
      <vt:lpstr>CatD__012</vt:lpstr>
      <vt:lpstr>CatD__013</vt:lpstr>
      <vt:lpstr>CatD__014</vt:lpstr>
      <vt:lpstr>CatD__015</vt:lpstr>
      <vt:lpstr>CatD__016</vt:lpstr>
      <vt:lpstr>CatD__017</vt:lpstr>
      <vt:lpstr>CatD__018</vt:lpstr>
      <vt:lpstr>CatD__019</vt:lpstr>
      <vt:lpstr>CatD__020</vt:lpstr>
      <vt:lpstr>CatD__021</vt:lpstr>
      <vt:lpstr>CatD__022</vt:lpstr>
      <vt:lpstr>CatD__023</vt:lpstr>
      <vt:lpstr>CatD__024</vt:lpstr>
      <vt:lpstr>CatD__025</vt:lpstr>
      <vt:lpstr>CatD__026</vt:lpstr>
      <vt:lpstr>CatD__027</vt:lpstr>
      <vt:lpstr>CatD__028</vt:lpstr>
      <vt:lpstr>CatD__029</vt:lpstr>
      <vt:lpstr>CatD__030</vt:lpstr>
      <vt:lpstr>CatD__031</vt:lpstr>
      <vt:lpstr>CatD__032</vt:lpstr>
      <vt:lpstr>CatD__033</vt:lpstr>
      <vt:lpstr>CatD__034</vt:lpstr>
      <vt:lpstr>CatD__035</vt:lpstr>
      <vt:lpstr>CatD__036</vt:lpstr>
      <vt:lpstr>CatD__037</vt:lpstr>
      <vt:lpstr>CatD__038</vt:lpstr>
      <vt:lpstr>CatD__039</vt:lpstr>
      <vt:lpstr>CatD__040</vt:lpstr>
      <vt:lpstr>CatD__041</vt:lpstr>
      <vt:lpstr>CatD__042</vt:lpstr>
      <vt:lpstr>CatD__043</vt:lpstr>
      <vt:lpstr>CatD__044</vt:lpstr>
      <vt:lpstr>CatD__045</vt:lpstr>
      <vt:lpstr>CatD__046</vt:lpstr>
      <vt:lpstr>CatD__047</vt:lpstr>
      <vt:lpstr>CatD__048</vt:lpstr>
      <vt:lpstr>CatD__049</vt:lpstr>
      <vt:lpstr>CatD__050</vt:lpstr>
      <vt:lpstr>CatD__051</vt:lpstr>
      <vt:lpstr>CatE__001</vt:lpstr>
      <vt:lpstr>CatE__002</vt:lpstr>
      <vt:lpstr>CatE__003</vt:lpstr>
      <vt:lpstr>CatE__004</vt:lpstr>
      <vt:lpstr>CatE__005</vt:lpstr>
      <vt:lpstr>CatE__006</vt:lpstr>
      <vt:lpstr>CatE__007</vt:lpstr>
      <vt:lpstr>CatE__008</vt:lpstr>
      <vt:lpstr>CatE__009</vt:lpstr>
      <vt:lpstr>CatE__010</vt:lpstr>
      <vt:lpstr>CatE__011</vt:lpstr>
      <vt:lpstr>CatE__012</vt:lpstr>
      <vt:lpstr>CatE__013</vt:lpstr>
      <vt:lpstr>CatE__014</vt:lpstr>
      <vt:lpstr>CatE__015</vt:lpstr>
      <vt:lpstr>CatE__016</vt:lpstr>
      <vt:lpstr>CatE__017</vt:lpstr>
      <vt:lpstr>CatE__018</vt:lpstr>
      <vt:lpstr>CatE__019</vt:lpstr>
      <vt:lpstr>CatE__020</vt:lpstr>
      <vt:lpstr>CatE__021</vt:lpstr>
      <vt:lpstr>CatE__022</vt:lpstr>
      <vt:lpstr>CatE__023</vt:lpstr>
      <vt:lpstr>CatE__024</vt:lpstr>
      <vt:lpstr>CatE__025</vt:lpstr>
      <vt:lpstr>CatE__026</vt:lpstr>
      <vt:lpstr>CatE__027</vt:lpstr>
      <vt:lpstr>CatE__028</vt:lpstr>
      <vt:lpstr>CatE__029</vt:lpstr>
      <vt:lpstr>CatE__030</vt:lpstr>
      <vt:lpstr>CatE__031</vt:lpstr>
      <vt:lpstr>CatE__032</vt:lpstr>
      <vt:lpstr>CatE__033</vt:lpstr>
      <vt:lpstr>CatE__034</vt:lpstr>
      <vt:lpstr>CatE__035</vt:lpstr>
      <vt:lpstr>CatE__036</vt:lpstr>
      <vt:lpstr>CatE__037</vt:lpstr>
      <vt:lpstr>CatE__038</vt:lpstr>
      <vt:lpstr>CatE__039</vt:lpstr>
      <vt:lpstr>CatE__040</vt:lpstr>
      <vt:lpstr>CatE__041</vt:lpstr>
      <vt:lpstr>CatE__042</vt:lpstr>
      <vt:lpstr>CatE__043</vt:lpstr>
      <vt:lpstr>CatE__044</vt:lpstr>
      <vt:lpstr>CatE__045</vt:lpstr>
      <vt:lpstr>CatE__046</vt:lpstr>
      <vt:lpstr>CatE__047</vt:lpstr>
      <vt:lpstr>CatE__048</vt:lpstr>
      <vt:lpstr>CatE__049</vt:lpstr>
      <vt:lpstr>CatE__050</vt:lpstr>
      <vt:lpstr>CatE__051</vt:lpstr>
      <vt:lpstr>CBListe</vt:lpstr>
      <vt:lpstr>CBNames</vt:lpstr>
      <vt:lpstr>Cmplx_1</vt:lpstr>
      <vt:lpstr>Cmplx_2</vt:lpstr>
      <vt:lpstr>Cmplx_3</vt:lpstr>
      <vt:lpstr>CoAuditor1</vt:lpstr>
      <vt:lpstr>CoAuditor1EAC</vt:lpstr>
      <vt:lpstr>CoAuditor2</vt:lpstr>
      <vt:lpstr>CoAuditor2EAC</vt:lpstr>
      <vt:lpstr>CoAuditor3</vt:lpstr>
      <vt:lpstr>CoAuditor3EAC</vt:lpstr>
      <vt:lpstr>Complex</vt:lpstr>
      <vt:lpstr>Complex__001</vt:lpstr>
      <vt:lpstr>Complex__002</vt:lpstr>
      <vt:lpstr>Complex__003</vt:lpstr>
      <vt:lpstr>Complex__004</vt:lpstr>
      <vt:lpstr>Complex__005</vt:lpstr>
      <vt:lpstr>Complex__006</vt:lpstr>
      <vt:lpstr>Complex__007</vt:lpstr>
      <vt:lpstr>Complex__008</vt:lpstr>
      <vt:lpstr>Complex__009</vt:lpstr>
      <vt:lpstr>Complex__010</vt:lpstr>
      <vt:lpstr>Complex__011</vt:lpstr>
      <vt:lpstr>Complex__012</vt:lpstr>
      <vt:lpstr>Complex__013</vt:lpstr>
      <vt:lpstr>Complex__014</vt:lpstr>
      <vt:lpstr>Complex__015</vt:lpstr>
      <vt:lpstr>Complex__016</vt:lpstr>
      <vt:lpstr>Complex__017</vt:lpstr>
      <vt:lpstr>Complex__018</vt:lpstr>
      <vt:lpstr>Complex__019</vt:lpstr>
      <vt:lpstr>Complex__020</vt:lpstr>
      <vt:lpstr>Complex__021</vt:lpstr>
      <vt:lpstr>Complex__022</vt:lpstr>
      <vt:lpstr>Complex__023</vt:lpstr>
      <vt:lpstr>Complex__024</vt:lpstr>
      <vt:lpstr>Complex__025</vt:lpstr>
      <vt:lpstr>Complex__026</vt:lpstr>
      <vt:lpstr>Complex__027</vt:lpstr>
      <vt:lpstr>Complex__028</vt:lpstr>
      <vt:lpstr>Complex__029</vt:lpstr>
      <vt:lpstr>Complex__030</vt:lpstr>
      <vt:lpstr>Complex__031</vt:lpstr>
      <vt:lpstr>Complex__032</vt:lpstr>
      <vt:lpstr>Complex__033</vt:lpstr>
      <vt:lpstr>Complex__034</vt:lpstr>
      <vt:lpstr>Complex__035</vt:lpstr>
      <vt:lpstr>Complex__036</vt:lpstr>
      <vt:lpstr>Complex__037</vt:lpstr>
      <vt:lpstr>Complex__038</vt:lpstr>
      <vt:lpstr>Complex__039</vt:lpstr>
      <vt:lpstr>Complex__040</vt:lpstr>
      <vt:lpstr>Complex__041</vt:lpstr>
      <vt:lpstr>Complex__042</vt:lpstr>
      <vt:lpstr>Complex__043</vt:lpstr>
      <vt:lpstr>Complex__044</vt:lpstr>
      <vt:lpstr>Complex__045</vt:lpstr>
      <vt:lpstr>Complex__046</vt:lpstr>
      <vt:lpstr>Complex__047</vt:lpstr>
      <vt:lpstr>Complex__048</vt:lpstr>
      <vt:lpstr>Complex__049</vt:lpstr>
      <vt:lpstr>Complex__050</vt:lpstr>
      <vt:lpstr>Complex__051</vt:lpstr>
      <vt:lpstr>ConsiderUpgrade</vt:lpstr>
      <vt:lpstr>DatumStruktur</vt:lpstr>
      <vt:lpstr>DE</vt:lpstr>
      <vt:lpstr>DesignDefault</vt:lpstr>
      <vt:lpstr>Deutsch</vt:lpstr>
      <vt:lpstr>Dolmetsch__001</vt:lpstr>
      <vt:lpstr>Dolmetsch__002</vt:lpstr>
      <vt:lpstr>Dolmetsch__003</vt:lpstr>
      <vt:lpstr>Dolmetsch__004</vt:lpstr>
      <vt:lpstr>Dolmetsch__005</vt:lpstr>
      <vt:lpstr>Dolmetsch__006</vt:lpstr>
      <vt:lpstr>Dolmetsch__007</vt:lpstr>
      <vt:lpstr>Dolmetsch__008</vt:lpstr>
      <vt:lpstr>Dolmetsch__009</vt:lpstr>
      <vt:lpstr>Dolmetsch__010</vt:lpstr>
      <vt:lpstr>Dolmetsch__011</vt:lpstr>
      <vt:lpstr>Dolmetsch__012</vt:lpstr>
      <vt:lpstr>Dolmetsch__013</vt:lpstr>
      <vt:lpstr>Dolmetsch__014</vt:lpstr>
      <vt:lpstr>Dolmetsch__015</vt:lpstr>
      <vt:lpstr>Dolmetsch__016</vt:lpstr>
      <vt:lpstr>Dolmetsch__017</vt:lpstr>
      <vt:lpstr>Dolmetsch__018</vt:lpstr>
      <vt:lpstr>Dolmetsch__019</vt:lpstr>
      <vt:lpstr>Dolmetsch__020</vt:lpstr>
      <vt:lpstr>Dolmetsch__021</vt:lpstr>
      <vt:lpstr>Dolmetsch__022</vt:lpstr>
      <vt:lpstr>Dolmetsch__023</vt:lpstr>
      <vt:lpstr>Dolmetsch__024</vt:lpstr>
      <vt:lpstr>Dolmetsch__025</vt:lpstr>
      <vt:lpstr>Dolmetsch__026</vt:lpstr>
      <vt:lpstr>Dolmetsch__027</vt:lpstr>
      <vt:lpstr>Dolmetsch__028</vt:lpstr>
      <vt:lpstr>Dolmetsch__029</vt:lpstr>
      <vt:lpstr>Dolmetsch__030</vt:lpstr>
      <vt:lpstr>Dolmetsch__031</vt:lpstr>
      <vt:lpstr>Dolmetsch__032</vt:lpstr>
      <vt:lpstr>Dolmetsch__033</vt:lpstr>
      <vt:lpstr>Dolmetsch__034</vt:lpstr>
      <vt:lpstr>Dolmetsch__035</vt:lpstr>
      <vt:lpstr>Dolmetsch__036</vt:lpstr>
      <vt:lpstr>Dolmetsch__037</vt:lpstr>
      <vt:lpstr>Dolmetsch__038</vt:lpstr>
      <vt:lpstr>Dolmetsch__039</vt:lpstr>
      <vt:lpstr>Dolmetsch__040</vt:lpstr>
      <vt:lpstr>Dolmetsch__041</vt:lpstr>
      <vt:lpstr>Dolmetsch__042</vt:lpstr>
      <vt:lpstr>Dolmetsch__043</vt:lpstr>
      <vt:lpstr>Dolmetsch__044</vt:lpstr>
      <vt:lpstr>Dolmetsch__045</vt:lpstr>
      <vt:lpstr>Dolmetsch__046</vt:lpstr>
      <vt:lpstr>Dolmetsch__047</vt:lpstr>
      <vt:lpstr>Dolmetsch__048</vt:lpstr>
      <vt:lpstr>Dolmetsch__049</vt:lpstr>
      <vt:lpstr>Dolmetsch__050</vt:lpstr>
      <vt:lpstr>Dolmetsch__051</vt:lpstr>
      <vt:lpstr>DolmetscherJa</vt:lpstr>
      <vt:lpstr>DurVerCAR_1</vt:lpstr>
      <vt:lpstr>DurVerCAR_2</vt:lpstr>
      <vt:lpstr>DurVerCAR_3</vt:lpstr>
      <vt:lpstr>EAC_1</vt:lpstr>
      <vt:lpstr>EAC_2</vt:lpstr>
      <vt:lpstr>EAC_3</vt:lpstr>
      <vt:lpstr>EACListe</vt:lpstr>
      <vt:lpstr>Einzelstandard</vt:lpstr>
      <vt:lpstr>EMail</vt:lpstr>
      <vt:lpstr>Empty</vt:lpstr>
      <vt:lpstr>EN</vt:lpstr>
      <vt:lpstr>EN9100_001</vt:lpstr>
      <vt:lpstr>EN9100_002</vt:lpstr>
      <vt:lpstr>EN9100_003</vt:lpstr>
      <vt:lpstr>EN9100_004</vt:lpstr>
      <vt:lpstr>EN9100_005</vt:lpstr>
      <vt:lpstr>EN9100_006</vt:lpstr>
      <vt:lpstr>EN9100_007</vt:lpstr>
      <vt:lpstr>EN9100_008</vt:lpstr>
      <vt:lpstr>EN9100_009</vt:lpstr>
      <vt:lpstr>EN9100_010</vt:lpstr>
      <vt:lpstr>EN9100_011</vt:lpstr>
      <vt:lpstr>EN9100_012</vt:lpstr>
      <vt:lpstr>EN9100_013</vt:lpstr>
      <vt:lpstr>EN9100_014</vt:lpstr>
      <vt:lpstr>EN9100_015</vt:lpstr>
      <vt:lpstr>EN9100_016</vt:lpstr>
      <vt:lpstr>EN9100_017</vt:lpstr>
      <vt:lpstr>EN9100_018</vt:lpstr>
      <vt:lpstr>EN9100_019</vt:lpstr>
      <vt:lpstr>EN9100_020</vt:lpstr>
      <vt:lpstr>EN9100_021</vt:lpstr>
      <vt:lpstr>EN9100_022</vt:lpstr>
      <vt:lpstr>EN9100_023</vt:lpstr>
      <vt:lpstr>EN9100_024</vt:lpstr>
      <vt:lpstr>EN9100_025</vt:lpstr>
      <vt:lpstr>EN9100_026</vt:lpstr>
      <vt:lpstr>EN9100_027</vt:lpstr>
      <vt:lpstr>EN9100_028</vt:lpstr>
      <vt:lpstr>EN9100_029</vt:lpstr>
      <vt:lpstr>EN9100_030</vt:lpstr>
      <vt:lpstr>EN9100_031</vt:lpstr>
      <vt:lpstr>EN9100_032</vt:lpstr>
      <vt:lpstr>EN9100_033</vt:lpstr>
      <vt:lpstr>EN9100_034</vt:lpstr>
      <vt:lpstr>EN9100_035</vt:lpstr>
      <vt:lpstr>EN9100_036</vt:lpstr>
      <vt:lpstr>EN9100_037</vt:lpstr>
      <vt:lpstr>EN9100_038</vt:lpstr>
      <vt:lpstr>EN9100_039</vt:lpstr>
      <vt:lpstr>EN9100_040</vt:lpstr>
      <vt:lpstr>EN9100_041</vt:lpstr>
      <vt:lpstr>EN9100_042</vt:lpstr>
      <vt:lpstr>EN9100_043</vt:lpstr>
      <vt:lpstr>EN9100_044</vt:lpstr>
      <vt:lpstr>EN9100_045</vt:lpstr>
      <vt:lpstr>EN9100_046</vt:lpstr>
      <vt:lpstr>EN9100_047</vt:lpstr>
      <vt:lpstr>EN9100_048</vt:lpstr>
      <vt:lpstr>EN9100_049</vt:lpstr>
      <vt:lpstr>EN9100_050</vt:lpstr>
      <vt:lpstr>EN9100_051</vt:lpstr>
      <vt:lpstr>EN9100B</vt:lpstr>
      <vt:lpstr>EN9100Ja</vt:lpstr>
      <vt:lpstr>EN9100Rev</vt:lpstr>
      <vt:lpstr>EN9100v</vt:lpstr>
      <vt:lpstr>EN9110_001</vt:lpstr>
      <vt:lpstr>EN9110_002</vt:lpstr>
      <vt:lpstr>EN9110_003</vt:lpstr>
      <vt:lpstr>EN9110_004</vt:lpstr>
      <vt:lpstr>EN9110_005</vt:lpstr>
      <vt:lpstr>EN9110_006</vt:lpstr>
      <vt:lpstr>EN9110_007</vt:lpstr>
      <vt:lpstr>EN9110_008</vt:lpstr>
      <vt:lpstr>EN9110_009</vt:lpstr>
      <vt:lpstr>EN9110_010</vt:lpstr>
      <vt:lpstr>EN9110_011</vt:lpstr>
      <vt:lpstr>EN9110_012</vt:lpstr>
      <vt:lpstr>EN9110_013</vt:lpstr>
      <vt:lpstr>EN9110_014</vt:lpstr>
      <vt:lpstr>EN9110_015</vt:lpstr>
      <vt:lpstr>EN9110_016</vt:lpstr>
      <vt:lpstr>EN9110_017</vt:lpstr>
      <vt:lpstr>EN9110_018</vt:lpstr>
      <vt:lpstr>EN9110_019</vt:lpstr>
      <vt:lpstr>EN9110_020</vt:lpstr>
      <vt:lpstr>EN9110_021</vt:lpstr>
      <vt:lpstr>EN9110_022</vt:lpstr>
      <vt:lpstr>EN9110_023</vt:lpstr>
      <vt:lpstr>EN9110_024</vt:lpstr>
      <vt:lpstr>EN9110_025</vt:lpstr>
      <vt:lpstr>EN9110_026</vt:lpstr>
      <vt:lpstr>EN9110_027</vt:lpstr>
      <vt:lpstr>EN9110_028</vt:lpstr>
      <vt:lpstr>EN9110_029</vt:lpstr>
      <vt:lpstr>EN9110_030</vt:lpstr>
      <vt:lpstr>EN9110_031</vt:lpstr>
      <vt:lpstr>EN9110_032</vt:lpstr>
      <vt:lpstr>EN9110_033</vt:lpstr>
      <vt:lpstr>EN9110_034</vt:lpstr>
      <vt:lpstr>EN9110_035</vt:lpstr>
      <vt:lpstr>EN9110_036</vt:lpstr>
      <vt:lpstr>EN9110_037</vt:lpstr>
      <vt:lpstr>EN9110_038</vt:lpstr>
      <vt:lpstr>EN9110_039</vt:lpstr>
      <vt:lpstr>EN9110_040</vt:lpstr>
      <vt:lpstr>EN9110_041</vt:lpstr>
      <vt:lpstr>EN9110_042</vt:lpstr>
      <vt:lpstr>EN9110_043</vt:lpstr>
      <vt:lpstr>EN9110_044</vt:lpstr>
      <vt:lpstr>EN9110_045</vt:lpstr>
      <vt:lpstr>EN9110_046</vt:lpstr>
      <vt:lpstr>EN9110_047</vt:lpstr>
      <vt:lpstr>EN9110_048</vt:lpstr>
      <vt:lpstr>EN9110_049</vt:lpstr>
      <vt:lpstr>EN9110_050</vt:lpstr>
      <vt:lpstr>EN9110_051</vt:lpstr>
      <vt:lpstr>EN9110_052</vt:lpstr>
      <vt:lpstr>EN9110B</vt:lpstr>
      <vt:lpstr>EN9110Ja</vt:lpstr>
      <vt:lpstr>EN9110Rev</vt:lpstr>
      <vt:lpstr>EN9110v</vt:lpstr>
      <vt:lpstr>EN9120_001</vt:lpstr>
      <vt:lpstr>EN9120_002</vt:lpstr>
      <vt:lpstr>EN9120_003</vt:lpstr>
      <vt:lpstr>EN9120_004</vt:lpstr>
      <vt:lpstr>EN9120_005</vt:lpstr>
      <vt:lpstr>EN9120_006</vt:lpstr>
      <vt:lpstr>EN9120_007</vt:lpstr>
      <vt:lpstr>EN9120_008</vt:lpstr>
      <vt:lpstr>EN9120_009</vt:lpstr>
      <vt:lpstr>EN9120_010</vt:lpstr>
      <vt:lpstr>EN9120_011</vt:lpstr>
      <vt:lpstr>EN9120_012</vt:lpstr>
      <vt:lpstr>EN9120_013</vt:lpstr>
      <vt:lpstr>EN9120_014</vt:lpstr>
      <vt:lpstr>EN9120_015</vt:lpstr>
      <vt:lpstr>EN9120_016</vt:lpstr>
      <vt:lpstr>EN9120_017</vt:lpstr>
      <vt:lpstr>EN9120_018</vt:lpstr>
      <vt:lpstr>EN9120_019</vt:lpstr>
      <vt:lpstr>EN9120_020</vt:lpstr>
      <vt:lpstr>EN9120_021</vt:lpstr>
      <vt:lpstr>EN9120_022</vt:lpstr>
      <vt:lpstr>EN9120_023</vt:lpstr>
      <vt:lpstr>EN9120_024</vt:lpstr>
      <vt:lpstr>EN9120_025</vt:lpstr>
      <vt:lpstr>EN9120_026</vt:lpstr>
      <vt:lpstr>EN9120_027</vt:lpstr>
      <vt:lpstr>EN9120_028</vt:lpstr>
      <vt:lpstr>EN9120_029</vt:lpstr>
      <vt:lpstr>EN9120_030</vt:lpstr>
      <vt:lpstr>EN9120_031</vt:lpstr>
      <vt:lpstr>EN9120_032</vt:lpstr>
      <vt:lpstr>EN9120_033</vt:lpstr>
      <vt:lpstr>EN9120_034</vt:lpstr>
      <vt:lpstr>EN9120_035</vt:lpstr>
      <vt:lpstr>EN9120_036</vt:lpstr>
      <vt:lpstr>EN9120_037</vt:lpstr>
      <vt:lpstr>EN9120_038</vt:lpstr>
      <vt:lpstr>EN9120_039</vt:lpstr>
      <vt:lpstr>EN9120_040</vt:lpstr>
      <vt:lpstr>EN9120_041</vt:lpstr>
      <vt:lpstr>EN9120_042</vt:lpstr>
      <vt:lpstr>EN9120_043</vt:lpstr>
      <vt:lpstr>EN9120_044</vt:lpstr>
      <vt:lpstr>EN9120_045</vt:lpstr>
      <vt:lpstr>EN9120_046</vt:lpstr>
      <vt:lpstr>EN9120_047</vt:lpstr>
      <vt:lpstr>EN9120_048</vt:lpstr>
      <vt:lpstr>EN9120_049</vt:lpstr>
      <vt:lpstr>EN9120_050</vt:lpstr>
      <vt:lpstr>EN9120_051</vt:lpstr>
      <vt:lpstr>EN9120_052</vt:lpstr>
      <vt:lpstr>EN9120B</vt:lpstr>
      <vt:lpstr>EN9120Ja</vt:lpstr>
      <vt:lpstr>EN9120Rev</vt:lpstr>
      <vt:lpstr>EN9120v</vt:lpstr>
      <vt:lpstr>Englisch</vt:lpstr>
      <vt:lpstr>Entwicklung</vt:lpstr>
      <vt:lpstr>EpxortYes</vt:lpstr>
      <vt:lpstr>Experte1</vt:lpstr>
      <vt:lpstr>Experte1EAC</vt:lpstr>
      <vt:lpstr>Experte2</vt:lpstr>
      <vt:lpstr>Experte2EAC</vt:lpstr>
      <vt:lpstr>ExpiryDate</vt:lpstr>
      <vt:lpstr>ExportCountries</vt:lpstr>
      <vt:lpstr>ExportinScope</vt:lpstr>
      <vt:lpstr>ExportOASIS</vt:lpstr>
      <vt:lpstr>ExportProducts</vt:lpstr>
      <vt:lpstr>Extens_1</vt:lpstr>
      <vt:lpstr>Extens_2</vt:lpstr>
      <vt:lpstr>Extens_3</vt:lpstr>
      <vt:lpstr>Firma</vt:lpstr>
      <vt:lpstr>Formblatt</vt:lpstr>
      <vt:lpstr>FormblattRev</vt:lpstr>
      <vt:lpstr>Gebiete</vt:lpstr>
      <vt:lpstr>Gültig</vt:lpstr>
      <vt:lpstr>Hauptsitz</vt:lpstr>
      <vt:lpstr>High</vt:lpstr>
      <vt:lpstr>HQ</vt:lpstr>
      <vt:lpstr>HQZF</vt:lpstr>
      <vt:lpstr>Init2016</vt:lpstr>
      <vt:lpstr>IntegAQMS</vt:lpstr>
      <vt:lpstr>Integration</vt:lpstr>
      <vt:lpstr>ISO9001_001</vt:lpstr>
      <vt:lpstr>ISO9001_002</vt:lpstr>
      <vt:lpstr>ISO9001_003</vt:lpstr>
      <vt:lpstr>ISO9001_004</vt:lpstr>
      <vt:lpstr>ISO9001_005</vt:lpstr>
      <vt:lpstr>ISO9001_006</vt:lpstr>
      <vt:lpstr>ISO9001_007</vt:lpstr>
      <vt:lpstr>ISO9001_008</vt:lpstr>
      <vt:lpstr>ISO9001_009</vt:lpstr>
      <vt:lpstr>ISO9001_010</vt:lpstr>
      <vt:lpstr>ISO9001_011</vt:lpstr>
      <vt:lpstr>ISO9001_012</vt:lpstr>
      <vt:lpstr>ISO9001_013</vt:lpstr>
      <vt:lpstr>ISO9001_014</vt:lpstr>
      <vt:lpstr>ISO9001_015</vt:lpstr>
      <vt:lpstr>ISO9001_016</vt:lpstr>
      <vt:lpstr>ISO9001_017</vt:lpstr>
      <vt:lpstr>ISO9001_018</vt:lpstr>
      <vt:lpstr>ISO9001_019</vt:lpstr>
      <vt:lpstr>ISO9001_020</vt:lpstr>
      <vt:lpstr>ISO9001_021</vt:lpstr>
      <vt:lpstr>ISO9001_022</vt:lpstr>
      <vt:lpstr>ISO9001_023</vt:lpstr>
      <vt:lpstr>ISO9001_024</vt:lpstr>
      <vt:lpstr>ISO9001_025</vt:lpstr>
      <vt:lpstr>ISO9001_026</vt:lpstr>
      <vt:lpstr>ISO9001_027</vt:lpstr>
      <vt:lpstr>ISO9001_028</vt:lpstr>
      <vt:lpstr>ISO9001_029</vt:lpstr>
      <vt:lpstr>ISO9001_030</vt:lpstr>
      <vt:lpstr>ISO9001_031</vt:lpstr>
      <vt:lpstr>ISO9001_032</vt:lpstr>
      <vt:lpstr>ISO9001_033</vt:lpstr>
      <vt:lpstr>ISO9001_034</vt:lpstr>
      <vt:lpstr>ISO9001_035</vt:lpstr>
      <vt:lpstr>ISO9001_036</vt:lpstr>
      <vt:lpstr>ISO9001_037</vt:lpstr>
      <vt:lpstr>ISO9001_038</vt:lpstr>
      <vt:lpstr>ISO9001_039</vt:lpstr>
      <vt:lpstr>ISO9001_040</vt:lpstr>
      <vt:lpstr>ISO9001_041</vt:lpstr>
      <vt:lpstr>ISO9001_042</vt:lpstr>
      <vt:lpstr>ISO9001_043</vt:lpstr>
      <vt:lpstr>ISO9001_044</vt:lpstr>
      <vt:lpstr>ISO9001_045</vt:lpstr>
      <vt:lpstr>ISO9001_046</vt:lpstr>
      <vt:lpstr>ISO9001_047</vt:lpstr>
      <vt:lpstr>ISO9001_048</vt:lpstr>
      <vt:lpstr>ISO9001_049</vt:lpstr>
      <vt:lpstr>ISO9001_050</vt:lpstr>
      <vt:lpstr>ISO9001_051</vt:lpstr>
      <vt:lpstr>ISO9001_052</vt:lpstr>
      <vt:lpstr>ISO9001Ja</vt:lpstr>
      <vt:lpstr>ISO9001Rev</vt:lpstr>
      <vt:lpstr>ISO9001v</vt:lpstr>
      <vt:lpstr>J_1</vt:lpstr>
      <vt:lpstr>J_2</vt:lpstr>
      <vt:lpstr>J_3</vt:lpstr>
      <vt:lpstr>J1Add</vt:lpstr>
      <vt:lpstr>J1AddNC</vt:lpstr>
      <vt:lpstr>J2Add</vt:lpstr>
      <vt:lpstr>J2AddNC</vt:lpstr>
      <vt:lpstr>J3Add</vt:lpstr>
      <vt:lpstr>J3AddNC</vt:lpstr>
      <vt:lpstr>Ja</vt:lpstr>
      <vt:lpstr>JaNein</vt:lpstr>
      <vt:lpstr>JaNeinNZ</vt:lpstr>
      <vt:lpstr>Kombination</vt:lpstr>
      <vt:lpstr>Komplexität</vt:lpstr>
      <vt:lpstr>Komplexität1</vt:lpstr>
      <vt:lpstr>Komplexität2</vt:lpstr>
      <vt:lpstr>Komplexität3</vt:lpstr>
      <vt:lpstr>Konzern</vt:lpstr>
      <vt:lpstr>Kreuz</vt:lpstr>
      <vt:lpstr>Land</vt:lpstr>
      <vt:lpstr>Land_001</vt:lpstr>
      <vt:lpstr>Land_002</vt:lpstr>
      <vt:lpstr>Land_003</vt:lpstr>
      <vt:lpstr>Land_004</vt:lpstr>
      <vt:lpstr>Land_005</vt:lpstr>
      <vt:lpstr>Land_006</vt:lpstr>
      <vt:lpstr>Land_007</vt:lpstr>
      <vt:lpstr>Land_008</vt:lpstr>
      <vt:lpstr>Land_009</vt:lpstr>
      <vt:lpstr>Land_010</vt:lpstr>
      <vt:lpstr>Land_011</vt:lpstr>
      <vt:lpstr>Land_012</vt:lpstr>
      <vt:lpstr>Land_013</vt:lpstr>
      <vt:lpstr>Land_014</vt:lpstr>
      <vt:lpstr>Land_015</vt:lpstr>
      <vt:lpstr>Land_016</vt:lpstr>
      <vt:lpstr>Land_017</vt:lpstr>
      <vt:lpstr>Land_018</vt:lpstr>
      <vt:lpstr>Land_019</vt:lpstr>
      <vt:lpstr>Land_020</vt:lpstr>
      <vt:lpstr>Land_021</vt:lpstr>
      <vt:lpstr>Land_022</vt:lpstr>
      <vt:lpstr>Land_023</vt:lpstr>
      <vt:lpstr>Land_024</vt:lpstr>
      <vt:lpstr>Land_025</vt:lpstr>
      <vt:lpstr>Land_026</vt:lpstr>
      <vt:lpstr>Land_027</vt:lpstr>
      <vt:lpstr>Land_028</vt:lpstr>
      <vt:lpstr>Land_029</vt:lpstr>
      <vt:lpstr>Land_030</vt:lpstr>
      <vt:lpstr>Land_031</vt:lpstr>
      <vt:lpstr>Land_032</vt:lpstr>
      <vt:lpstr>Land_033</vt:lpstr>
      <vt:lpstr>Land_034</vt:lpstr>
      <vt:lpstr>Land_035</vt:lpstr>
      <vt:lpstr>Land_036</vt:lpstr>
      <vt:lpstr>Land_037</vt:lpstr>
      <vt:lpstr>Land_038</vt:lpstr>
      <vt:lpstr>Land_039</vt:lpstr>
      <vt:lpstr>Land_040</vt:lpstr>
      <vt:lpstr>Land_041</vt:lpstr>
      <vt:lpstr>Land_042</vt:lpstr>
      <vt:lpstr>Land_043</vt:lpstr>
      <vt:lpstr>Land_044</vt:lpstr>
      <vt:lpstr>Land_045</vt:lpstr>
      <vt:lpstr>Land_046</vt:lpstr>
      <vt:lpstr>Land_047</vt:lpstr>
      <vt:lpstr>Land_048</vt:lpstr>
      <vt:lpstr>Land_049</vt:lpstr>
      <vt:lpstr>Land_050</vt:lpstr>
      <vt:lpstr>Land_051</vt:lpstr>
      <vt:lpstr>Länder</vt:lpstr>
      <vt:lpstr>Ländercodes</vt:lpstr>
      <vt:lpstr>LänderDE</vt:lpstr>
      <vt:lpstr>LänderEN</vt:lpstr>
      <vt:lpstr>Lenkungsfunktion</vt:lpstr>
      <vt:lpstr>Limit_1</vt:lpstr>
      <vt:lpstr>Limit_2</vt:lpstr>
      <vt:lpstr>Limit_3</vt:lpstr>
      <vt:lpstr>Limit_Just</vt:lpstr>
      <vt:lpstr>ListeKomplexität</vt:lpstr>
      <vt:lpstr>Low</vt:lpstr>
      <vt:lpstr>MAVrnd1</vt:lpstr>
      <vt:lpstr>MaxAdd</vt:lpstr>
      <vt:lpstr>maxSh1</vt:lpstr>
      <vt:lpstr>maxSh2</vt:lpstr>
      <vt:lpstr>maxSh3</vt:lpstr>
      <vt:lpstr>MaxZuschlag</vt:lpstr>
      <vt:lpstr>Medium</vt:lpstr>
      <vt:lpstr>MSnMA1</vt:lpstr>
      <vt:lpstr>MSnMA2</vt:lpstr>
      <vt:lpstr>MSnMA3</vt:lpstr>
      <vt:lpstr>MSnMAero1</vt:lpstr>
      <vt:lpstr>MSnMAero2</vt:lpstr>
      <vt:lpstr>MSnMAero3</vt:lpstr>
      <vt:lpstr>MSnSite1</vt:lpstr>
      <vt:lpstr>MSnSite2</vt:lpstr>
      <vt:lpstr>MSnSite3</vt:lpstr>
      <vt:lpstr>MultipleSite</vt:lpstr>
      <vt:lpstr>MultiSite</vt:lpstr>
      <vt:lpstr>n_z</vt:lpstr>
      <vt:lpstr>Nein</vt:lpstr>
      <vt:lpstr>nFilialen1</vt:lpstr>
      <vt:lpstr>nFilialen2</vt:lpstr>
      <vt:lpstr>nFilialen3</vt:lpstr>
      <vt:lpstr>NIL</vt:lpstr>
      <vt:lpstr>nMA_1_001</vt:lpstr>
      <vt:lpstr>nMA_1_002</vt:lpstr>
      <vt:lpstr>nMA_1_003</vt:lpstr>
      <vt:lpstr>nMA_1_004</vt:lpstr>
      <vt:lpstr>nMA_1_005</vt:lpstr>
      <vt:lpstr>nMA_1_006</vt:lpstr>
      <vt:lpstr>nMA_1_007</vt:lpstr>
      <vt:lpstr>nMA_1_008</vt:lpstr>
      <vt:lpstr>nMA_1_009</vt:lpstr>
      <vt:lpstr>nMA_1_010</vt:lpstr>
      <vt:lpstr>nMA_1_011</vt:lpstr>
      <vt:lpstr>nMA_1_012</vt:lpstr>
      <vt:lpstr>nMA_1_013</vt:lpstr>
      <vt:lpstr>nMA_1_014</vt:lpstr>
      <vt:lpstr>nMA_1_015</vt:lpstr>
      <vt:lpstr>nMA_1_016</vt:lpstr>
      <vt:lpstr>nMA_1_017</vt:lpstr>
      <vt:lpstr>nMA_1_018</vt:lpstr>
      <vt:lpstr>nMA_1_019</vt:lpstr>
      <vt:lpstr>nMA_1_020</vt:lpstr>
      <vt:lpstr>nMA_1_021</vt:lpstr>
      <vt:lpstr>nMA_1_022</vt:lpstr>
      <vt:lpstr>nMA_1_023</vt:lpstr>
      <vt:lpstr>nMA_1_024</vt:lpstr>
      <vt:lpstr>nMA_1_025</vt:lpstr>
      <vt:lpstr>nMA_1_026</vt:lpstr>
      <vt:lpstr>nMA_1_027</vt:lpstr>
      <vt:lpstr>nMA_1_028</vt:lpstr>
      <vt:lpstr>nMA_1_029</vt:lpstr>
      <vt:lpstr>nMA_1_030</vt:lpstr>
      <vt:lpstr>nMA_1_031</vt:lpstr>
      <vt:lpstr>nMA_1_032</vt:lpstr>
      <vt:lpstr>nMA_1_033</vt:lpstr>
      <vt:lpstr>nMA_1_034</vt:lpstr>
      <vt:lpstr>nMA_1_035</vt:lpstr>
      <vt:lpstr>nMA_1_036</vt:lpstr>
      <vt:lpstr>nMA_1_037</vt:lpstr>
      <vt:lpstr>nMA_1_038</vt:lpstr>
      <vt:lpstr>nMA_1_039</vt:lpstr>
      <vt:lpstr>nMA_1_040</vt:lpstr>
      <vt:lpstr>nMA_1_041</vt:lpstr>
      <vt:lpstr>nMA_1_042</vt:lpstr>
      <vt:lpstr>nMA_1_043</vt:lpstr>
      <vt:lpstr>nMA_1_044</vt:lpstr>
      <vt:lpstr>nMA_1_045</vt:lpstr>
      <vt:lpstr>nMA_1_046</vt:lpstr>
      <vt:lpstr>nMA_1_047</vt:lpstr>
      <vt:lpstr>nMA_1_048</vt:lpstr>
      <vt:lpstr>nMA_1_049</vt:lpstr>
      <vt:lpstr>nMA_1_050</vt:lpstr>
      <vt:lpstr>nMA_1_051</vt:lpstr>
      <vt:lpstr>nMA_2_001</vt:lpstr>
      <vt:lpstr>nMA_2_002</vt:lpstr>
      <vt:lpstr>nMA_2_003</vt:lpstr>
      <vt:lpstr>nMA_2_004</vt:lpstr>
      <vt:lpstr>nMA_2_005</vt:lpstr>
      <vt:lpstr>nMA_2_006</vt:lpstr>
      <vt:lpstr>nMA_2_007</vt:lpstr>
      <vt:lpstr>nMA_2_008</vt:lpstr>
      <vt:lpstr>nMA_2_009</vt:lpstr>
      <vt:lpstr>nMA_2_010</vt:lpstr>
      <vt:lpstr>nMA_2_011</vt:lpstr>
      <vt:lpstr>nMA_2_012</vt:lpstr>
      <vt:lpstr>nMA_2_013</vt:lpstr>
      <vt:lpstr>nMA_2_014</vt:lpstr>
      <vt:lpstr>nMA_2_015</vt:lpstr>
      <vt:lpstr>nMA_2_016</vt:lpstr>
      <vt:lpstr>nMA_2_017</vt:lpstr>
      <vt:lpstr>nMA_2_018</vt:lpstr>
      <vt:lpstr>nMA_2_019</vt:lpstr>
      <vt:lpstr>nMA_2_020</vt:lpstr>
      <vt:lpstr>nMA_2_021</vt:lpstr>
      <vt:lpstr>nMA_2_022</vt:lpstr>
      <vt:lpstr>nMA_2_023</vt:lpstr>
      <vt:lpstr>nMA_2_024</vt:lpstr>
      <vt:lpstr>nMA_2_025</vt:lpstr>
      <vt:lpstr>nMA_2_026</vt:lpstr>
      <vt:lpstr>nMA_2_027</vt:lpstr>
      <vt:lpstr>nMA_2_028</vt:lpstr>
      <vt:lpstr>nMA_2_029</vt:lpstr>
      <vt:lpstr>nMA_2_030</vt:lpstr>
      <vt:lpstr>nMA_2_031</vt:lpstr>
      <vt:lpstr>nMA_2_032</vt:lpstr>
      <vt:lpstr>nMA_2_033</vt:lpstr>
      <vt:lpstr>nMA_2_034</vt:lpstr>
      <vt:lpstr>nMA_2_035</vt:lpstr>
      <vt:lpstr>nMA_2_036</vt:lpstr>
      <vt:lpstr>nMA_2_037</vt:lpstr>
      <vt:lpstr>nMA_2_038</vt:lpstr>
      <vt:lpstr>nMA_2_039</vt:lpstr>
      <vt:lpstr>nMA_2_040</vt:lpstr>
      <vt:lpstr>nMA_2_041</vt:lpstr>
      <vt:lpstr>nMA_2_042</vt:lpstr>
      <vt:lpstr>nMA_2_043</vt:lpstr>
      <vt:lpstr>nMA_2_044</vt:lpstr>
      <vt:lpstr>nMA_2_045</vt:lpstr>
      <vt:lpstr>nMA_2_046</vt:lpstr>
      <vt:lpstr>nMA_2_047</vt:lpstr>
      <vt:lpstr>nMA_2_048</vt:lpstr>
      <vt:lpstr>nMA_2_049</vt:lpstr>
      <vt:lpstr>nMA_2_050</vt:lpstr>
      <vt:lpstr>nMA_2_051</vt:lpstr>
      <vt:lpstr>nMA_3_001</vt:lpstr>
      <vt:lpstr>nMA_3_002</vt:lpstr>
      <vt:lpstr>nMA_3_003</vt:lpstr>
      <vt:lpstr>nMA_3_004</vt:lpstr>
      <vt:lpstr>nMA_3_005</vt:lpstr>
      <vt:lpstr>nMA_3_006</vt:lpstr>
      <vt:lpstr>nMA_3_007</vt:lpstr>
      <vt:lpstr>nMA_3_008</vt:lpstr>
      <vt:lpstr>nMA_3_009</vt:lpstr>
      <vt:lpstr>nMA_3_010</vt:lpstr>
      <vt:lpstr>nMA_3_011</vt:lpstr>
      <vt:lpstr>nMA_3_012</vt:lpstr>
      <vt:lpstr>nMA_3_013</vt:lpstr>
      <vt:lpstr>nMA_3_014</vt:lpstr>
      <vt:lpstr>nMA_3_015</vt:lpstr>
      <vt:lpstr>nMA_3_016</vt:lpstr>
      <vt:lpstr>nMA_3_017</vt:lpstr>
      <vt:lpstr>nMA_3_018</vt:lpstr>
      <vt:lpstr>nMA_3_019</vt:lpstr>
      <vt:lpstr>nMA_3_020</vt:lpstr>
      <vt:lpstr>nMA_3_021</vt:lpstr>
      <vt:lpstr>nMA_3_022</vt:lpstr>
      <vt:lpstr>nMA_3_023</vt:lpstr>
      <vt:lpstr>nMA_3_024</vt:lpstr>
      <vt:lpstr>nMA_3_025</vt:lpstr>
      <vt:lpstr>nMA_3_026</vt:lpstr>
      <vt:lpstr>nMA_3_027</vt:lpstr>
      <vt:lpstr>nMA_3_028</vt:lpstr>
      <vt:lpstr>nMA_3_029</vt:lpstr>
      <vt:lpstr>nMA_3_030</vt:lpstr>
      <vt:lpstr>nMA_3_031</vt:lpstr>
      <vt:lpstr>nMA_3_032</vt:lpstr>
      <vt:lpstr>nMA_3_033</vt:lpstr>
      <vt:lpstr>nMA_3_034</vt:lpstr>
      <vt:lpstr>nMA_3_035</vt:lpstr>
      <vt:lpstr>nMA_3_036</vt:lpstr>
      <vt:lpstr>nMA_3_037</vt:lpstr>
      <vt:lpstr>nMA_3_038</vt:lpstr>
      <vt:lpstr>nMA_3_039</vt:lpstr>
      <vt:lpstr>nMA_3_040</vt:lpstr>
      <vt:lpstr>nMA_3_041</vt:lpstr>
      <vt:lpstr>nMA_3_042</vt:lpstr>
      <vt:lpstr>nMA_3_043</vt:lpstr>
      <vt:lpstr>nMA_3_044</vt:lpstr>
      <vt:lpstr>nMA_3_045</vt:lpstr>
      <vt:lpstr>nMA_3_046</vt:lpstr>
      <vt:lpstr>nMA_3_047</vt:lpstr>
      <vt:lpstr>nMA_3_048</vt:lpstr>
      <vt:lpstr>nMA_3_049</vt:lpstr>
      <vt:lpstr>nMA_3_050</vt:lpstr>
      <vt:lpstr>nMA_3_051</vt:lpstr>
      <vt:lpstr>nMA1J</vt:lpstr>
      <vt:lpstr>nMA2J</vt:lpstr>
      <vt:lpstr>nMA3J</vt:lpstr>
      <vt:lpstr>nMADiffMuS</vt:lpstr>
      <vt:lpstr>nMADiffSiS</vt:lpstr>
      <vt:lpstr>nMAg1J</vt:lpstr>
      <vt:lpstr>nMAg2J</vt:lpstr>
      <vt:lpstr>nMAg3J</vt:lpstr>
      <vt:lpstr>nMAGes_1_001</vt:lpstr>
      <vt:lpstr>nMAGes_1_002</vt:lpstr>
      <vt:lpstr>nMAGes_1_003</vt:lpstr>
      <vt:lpstr>nMAGes_1_004</vt:lpstr>
      <vt:lpstr>nMAGes_1_005</vt:lpstr>
      <vt:lpstr>nMAGes_1_006</vt:lpstr>
      <vt:lpstr>nMAGes_1_007</vt:lpstr>
      <vt:lpstr>nMAGes_1_008</vt:lpstr>
      <vt:lpstr>nMAGes_1_009</vt:lpstr>
      <vt:lpstr>nMAGes_1_010</vt:lpstr>
      <vt:lpstr>nMAGes_1_011</vt:lpstr>
      <vt:lpstr>nMAGes_1_012</vt:lpstr>
      <vt:lpstr>nMAGes_1_013</vt:lpstr>
      <vt:lpstr>nMAGes_1_014</vt:lpstr>
      <vt:lpstr>nMAGes_1_015</vt:lpstr>
      <vt:lpstr>nMAGes_1_016</vt:lpstr>
      <vt:lpstr>nMAGes_1_017</vt:lpstr>
      <vt:lpstr>nMAGes_1_018</vt:lpstr>
      <vt:lpstr>nMAGes_1_019</vt:lpstr>
      <vt:lpstr>nMAGes_1_020</vt:lpstr>
      <vt:lpstr>nMAGes_1_021</vt:lpstr>
      <vt:lpstr>nMAGes_1_022</vt:lpstr>
      <vt:lpstr>nMAGes_1_023</vt:lpstr>
      <vt:lpstr>nMAGes_1_024</vt:lpstr>
      <vt:lpstr>nMAGes_1_025</vt:lpstr>
      <vt:lpstr>nMAGes_1_026</vt:lpstr>
      <vt:lpstr>nMAGes_1_027</vt:lpstr>
      <vt:lpstr>nMAGes_1_028</vt:lpstr>
      <vt:lpstr>nMAGes_1_029</vt:lpstr>
      <vt:lpstr>nMAGes_1_030</vt:lpstr>
      <vt:lpstr>nMAGes_1_031</vt:lpstr>
      <vt:lpstr>nMAGes_1_032</vt:lpstr>
      <vt:lpstr>nMAGes_1_033</vt:lpstr>
      <vt:lpstr>nMAGes_1_034</vt:lpstr>
      <vt:lpstr>nMAGes_1_035</vt:lpstr>
      <vt:lpstr>nMAGes_1_036</vt:lpstr>
      <vt:lpstr>nMAGes_1_037</vt:lpstr>
      <vt:lpstr>nMAGes_1_038</vt:lpstr>
      <vt:lpstr>nMAGes_1_039</vt:lpstr>
      <vt:lpstr>nMAGes_1_040</vt:lpstr>
      <vt:lpstr>nMAGes_1_041</vt:lpstr>
      <vt:lpstr>nMAGes_1_042</vt:lpstr>
      <vt:lpstr>nMAGes_1_043</vt:lpstr>
      <vt:lpstr>nMAGes_1_044</vt:lpstr>
      <vt:lpstr>nMAGes_1_045</vt:lpstr>
      <vt:lpstr>nMAGes_1_046</vt:lpstr>
      <vt:lpstr>nMAGes_1_047</vt:lpstr>
      <vt:lpstr>nMAGes_1_048</vt:lpstr>
      <vt:lpstr>nMAGes_1_049</vt:lpstr>
      <vt:lpstr>nMAGes_1_050</vt:lpstr>
      <vt:lpstr>nMAGes_1_051</vt:lpstr>
      <vt:lpstr>nMAGes_1_052</vt:lpstr>
      <vt:lpstr>nMAGes_2_001</vt:lpstr>
      <vt:lpstr>nMAGes_2_002</vt:lpstr>
      <vt:lpstr>nMAGes_2_003</vt:lpstr>
      <vt:lpstr>nMAGes_2_004</vt:lpstr>
      <vt:lpstr>nMAGes_2_005</vt:lpstr>
      <vt:lpstr>nMAGes_2_006</vt:lpstr>
      <vt:lpstr>nMAGes_2_007</vt:lpstr>
      <vt:lpstr>nMAGes_2_008</vt:lpstr>
      <vt:lpstr>nMAGes_2_009</vt:lpstr>
      <vt:lpstr>nMAGes_2_010</vt:lpstr>
      <vt:lpstr>nMAGes_2_011</vt:lpstr>
      <vt:lpstr>nMAGes_2_012</vt:lpstr>
      <vt:lpstr>nMAGes_2_013</vt:lpstr>
      <vt:lpstr>nMAGes_2_014</vt:lpstr>
      <vt:lpstr>nMAGes_2_015</vt:lpstr>
      <vt:lpstr>nMAGes_2_016</vt:lpstr>
      <vt:lpstr>nMAGes_2_017</vt:lpstr>
      <vt:lpstr>nMAGes_2_018</vt:lpstr>
      <vt:lpstr>nMAGes_2_019</vt:lpstr>
      <vt:lpstr>nMAGes_2_020</vt:lpstr>
      <vt:lpstr>nMAGes_2_021</vt:lpstr>
      <vt:lpstr>nMAGes_2_022</vt:lpstr>
      <vt:lpstr>nMAGes_2_023</vt:lpstr>
      <vt:lpstr>nMAGes_2_024</vt:lpstr>
      <vt:lpstr>nMAGes_2_025</vt:lpstr>
      <vt:lpstr>nMAGes_2_026</vt:lpstr>
      <vt:lpstr>nMAGes_2_027</vt:lpstr>
      <vt:lpstr>nMAGes_2_028</vt:lpstr>
      <vt:lpstr>nMAGes_2_029</vt:lpstr>
      <vt:lpstr>nMAGes_2_030</vt:lpstr>
      <vt:lpstr>nMAGes_2_031</vt:lpstr>
      <vt:lpstr>nMAGes_2_032</vt:lpstr>
      <vt:lpstr>nMAGes_2_033</vt:lpstr>
      <vt:lpstr>nMAGes_2_034</vt:lpstr>
      <vt:lpstr>nMAGes_2_035</vt:lpstr>
      <vt:lpstr>nMAGes_2_036</vt:lpstr>
      <vt:lpstr>nMAGes_2_037</vt:lpstr>
      <vt:lpstr>nMAGes_2_038</vt:lpstr>
      <vt:lpstr>nMAGes_2_039</vt:lpstr>
      <vt:lpstr>nMAGes_2_040</vt:lpstr>
      <vt:lpstr>nMAGes_2_041</vt:lpstr>
      <vt:lpstr>nMAGes_2_042</vt:lpstr>
      <vt:lpstr>nMAGes_2_043</vt:lpstr>
      <vt:lpstr>nMAGes_2_044</vt:lpstr>
      <vt:lpstr>nMAGes_2_045</vt:lpstr>
      <vt:lpstr>nMAGes_2_046</vt:lpstr>
      <vt:lpstr>nMAGes_2_047</vt:lpstr>
      <vt:lpstr>nMAGes_2_048</vt:lpstr>
      <vt:lpstr>nMAGes_2_049</vt:lpstr>
      <vt:lpstr>nMAGes_2_050</vt:lpstr>
      <vt:lpstr>nMAGes_2_051</vt:lpstr>
      <vt:lpstr>nMAGes_2_052</vt:lpstr>
      <vt:lpstr>nMAGes_3_001</vt:lpstr>
      <vt:lpstr>nMAGes_3_002</vt:lpstr>
      <vt:lpstr>nMAGes_3_003</vt:lpstr>
      <vt:lpstr>nMAGes_3_004</vt:lpstr>
      <vt:lpstr>nMAGes_3_005</vt:lpstr>
      <vt:lpstr>nMAGes_3_006</vt:lpstr>
      <vt:lpstr>nMAGes_3_007</vt:lpstr>
      <vt:lpstr>nMAGes_3_008</vt:lpstr>
      <vt:lpstr>nMAGes_3_009</vt:lpstr>
      <vt:lpstr>nMAGes_3_010</vt:lpstr>
      <vt:lpstr>nMAGes_3_011</vt:lpstr>
      <vt:lpstr>nMAGes_3_012</vt:lpstr>
      <vt:lpstr>nMAGes_3_013</vt:lpstr>
      <vt:lpstr>nMAGes_3_014</vt:lpstr>
      <vt:lpstr>nMAGes_3_015</vt:lpstr>
      <vt:lpstr>nMAGes_3_016</vt:lpstr>
      <vt:lpstr>nMAGes_3_017</vt:lpstr>
      <vt:lpstr>nMAGes_3_018</vt:lpstr>
      <vt:lpstr>nMAGes_3_019</vt:lpstr>
      <vt:lpstr>nMAGes_3_020</vt:lpstr>
      <vt:lpstr>nMAGes_3_021</vt:lpstr>
      <vt:lpstr>nMAGes_3_022</vt:lpstr>
      <vt:lpstr>nMAGes_3_023</vt:lpstr>
      <vt:lpstr>nMAGes_3_024</vt:lpstr>
      <vt:lpstr>nMAGes_3_025</vt:lpstr>
      <vt:lpstr>nMAGes_3_026</vt:lpstr>
      <vt:lpstr>nMAGes_3_027</vt:lpstr>
      <vt:lpstr>nMAGes_3_028</vt:lpstr>
      <vt:lpstr>nMAGes_3_029</vt:lpstr>
      <vt:lpstr>nMAGes_3_030</vt:lpstr>
      <vt:lpstr>nMAGes_3_031</vt:lpstr>
      <vt:lpstr>nMAGes_3_032</vt:lpstr>
      <vt:lpstr>nMAGes_3_033</vt:lpstr>
      <vt:lpstr>nMAGes_3_034</vt:lpstr>
      <vt:lpstr>nMAGes_3_035</vt:lpstr>
      <vt:lpstr>nMAGes_3_036</vt:lpstr>
      <vt:lpstr>nMAGes_3_037</vt:lpstr>
      <vt:lpstr>nMAGes_3_038</vt:lpstr>
      <vt:lpstr>nMAGes_3_039</vt:lpstr>
      <vt:lpstr>nMAGes_3_040</vt:lpstr>
      <vt:lpstr>nMAGes_3_041</vt:lpstr>
      <vt:lpstr>nMAGes_3_042</vt:lpstr>
      <vt:lpstr>nMAGes_3_043</vt:lpstr>
      <vt:lpstr>nMAGes_3_044</vt:lpstr>
      <vt:lpstr>nMAGes_3_045</vt:lpstr>
      <vt:lpstr>nMAGes_3_046</vt:lpstr>
      <vt:lpstr>nMAGes_3_047</vt:lpstr>
      <vt:lpstr>nMAGes_3_048</vt:lpstr>
      <vt:lpstr>nMAGes_3_049</vt:lpstr>
      <vt:lpstr>nMAGes_3_050</vt:lpstr>
      <vt:lpstr>nMAGes_3_051</vt:lpstr>
      <vt:lpstr>nMAGes_3_052</vt:lpstr>
      <vt:lpstr>nMAnonA1</vt:lpstr>
      <vt:lpstr>nMAnonA2</vt:lpstr>
      <vt:lpstr>nMAnonA3</vt:lpstr>
      <vt:lpstr>nMAnonAero_1__001</vt:lpstr>
      <vt:lpstr>nMAnonAero_1__002</vt:lpstr>
      <vt:lpstr>nMAnonAero_1__003</vt:lpstr>
      <vt:lpstr>nMAnonAero_1__004</vt:lpstr>
      <vt:lpstr>nMAnonAero_1__005</vt:lpstr>
      <vt:lpstr>nMAnonAero_1__006</vt:lpstr>
      <vt:lpstr>nMAnonAero_1__007</vt:lpstr>
      <vt:lpstr>nMAnonAero_1__008</vt:lpstr>
      <vt:lpstr>nMAnonAero_1__009</vt:lpstr>
      <vt:lpstr>nMAnonAero_1__010</vt:lpstr>
      <vt:lpstr>nMAnonAero_1__011</vt:lpstr>
      <vt:lpstr>nMAnonAero_1__012</vt:lpstr>
      <vt:lpstr>nMAnonAero_1__013</vt:lpstr>
      <vt:lpstr>nMAnonAero_1__014</vt:lpstr>
      <vt:lpstr>nMAnonAero_1__015</vt:lpstr>
      <vt:lpstr>nMAnonAero_1__016</vt:lpstr>
      <vt:lpstr>nMAnonAero_1__017</vt:lpstr>
      <vt:lpstr>nMAnonAero_1__018</vt:lpstr>
      <vt:lpstr>nMAnonAero_1__019</vt:lpstr>
      <vt:lpstr>nMAnonAero_1__020</vt:lpstr>
      <vt:lpstr>nMAnonAero_1__021</vt:lpstr>
      <vt:lpstr>nMAnonAero_1__022</vt:lpstr>
      <vt:lpstr>nMAnonAero_1__023</vt:lpstr>
      <vt:lpstr>nMAnonAero_1__024</vt:lpstr>
      <vt:lpstr>nMAnonAero_1__025</vt:lpstr>
      <vt:lpstr>nMAnonAero_1__026</vt:lpstr>
      <vt:lpstr>nMAnonAero_1__027</vt:lpstr>
      <vt:lpstr>nMAnonAero_1__028</vt:lpstr>
      <vt:lpstr>nMAnonAero_1__029</vt:lpstr>
      <vt:lpstr>nMAnonAero_1__030</vt:lpstr>
      <vt:lpstr>nMAnonAero_1__031</vt:lpstr>
      <vt:lpstr>nMAnonAero_1__032</vt:lpstr>
      <vt:lpstr>nMAnonAero_1__033</vt:lpstr>
      <vt:lpstr>nMAnonAero_1__034</vt:lpstr>
      <vt:lpstr>nMAnonAero_1__035</vt:lpstr>
      <vt:lpstr>nMAnonAero_1__036</vt:lpstr>
      <vt:lpstr>nMAnonAero_1__037</vt:lpstr>
      <vt:lpstr>nMAnonAero_1__038</vt:lpstr>
      <vt:lpstr>nMAnonAero_1__039</vt:lpstr>
      <vt:lpstr>nMAnonAero_1__040</vt:lpstr>
      <vt:lpstr>nMAnonAero_1__041</vt:lpstr>
      <vt:lpstr>nMAnonAero_1__042</vt:lpstr>
      <vt:lpstr>nMAnonAero_1__043</vt:lpstr>
      <vt:lpstr>nMAnonAero_1__044</vt:lpstr>
      <vt:lpstr>nMAnonAero_1__045</vt:lpstr>
      <vt:lpstr>nMAnonAero_1__046</vt:lpstr>
      <vt:lpstr>nMAnonAero_1__047</vt:lpstr>
      <vt:lpstr>nMAnonAero_1__048</vt:lpstr>
      <vt:lpstr>nMAnonAero_1__049</vt:lpstr>
      <vt:lpstr>nMAnonAero_1__050</vt:lpstr>
      <vt:lpstr>nMAnonAero_1__051</vt:lpstr>
      <vt:lpstr>nMAnonAero_2__001</vt:lpstr>
      <vt:lpstr>nMAnonAero_2__002</vt:lpstr>
      <vt:lpstr>nMAnonAero_2__003</vt:lpstr>
      <vt:lpstr>nMAnonAero_2__004</vt:lpstr>
      <vt:lpstr>nMAnonAero_2__005</vt:lpstr>
      <vt:lpstr>nMAnonAero_2__006</vt:lpstr>
      <vt:lpstr>nMAnonAero_2__007</vt:lpstr>
      <vt:lpstr>nMAnonAero_2__008</vt:lpstr>
      <vt:lpstr>nMAnonAero_2__009</vt:lpstr>
      <vt:lpstr>nMAnonAero_2__010</vt:lpstr>
      <vt:lpstr>nMAnonAero_2__011</vt:lpstr>
      <vt:lpstr>nMAnonAero_2__012</vt:lpstr>
      <vt:lpstr>nMAnonAero_2__013</vt:lpstr>
      <vt:lpstr>nMAnonAero_2__014</vt:lpstr>
      <vt:lpstr>nMAnonAero_2__015</vt:lpstr>
      <vt:lpstr>nMAnonAero_2__016</vt:lpstr>
      <vt:lpstr>nMAnonAero_2__017</vt:lpstr>
      <vt:lpstr>nMAnonAero_2__018</vt:lpstr>
      <vt:lpstr>nMAnonAero_2__019</vt:lpstr>
      <vt:lpstr>nMAnonAero_2__020</vt:lpstr>
      <vt:lpstr>nMAnonAero_2__021</vt:lpstr>
      <vt:lpstr>nMAnonAero_2__022</vt:lpstr>
      <vt:lpstr>nMAnonAero_2__023</vt:lpstr>
      <vt:lpstr>nMAnonAero_2__024</vt:lpstr>
      <vt:lpstr>nMAnonAero_2__025</vt:lpstr>
      <vt:lpstr>nMAnonAero_2__026</vt:lpstr>
      <vt:lpstr>nMAnonAero_2__027</vt:lpstr>
      <vt:lpstr>nMAnonAero_2__028</vt:lpstr>
      <vt:lpstr>nMAnonAero_2__029</vt:lpstr>
      <vt:lpstr>nMAnonAero_2__030</vt:lpstr>
      <vt:lpstr>nMAnonAero_2__031</vt:lpstr>
      <vt:lpstr>nMAnonAero_2__032</vt:lpstr>
      <vt:lpstr>nMAnonAero_2__033</vt:lpstr>
      <vt:lpstr>nMAnonAero_2__034</vt:lpstr>
      <vt:lpstr>nMAnonAero_2__035</vt:lpstr>
      <vt:lpstr>nMAnonAero_2__036</vt:lpstr>
      <vt:lpstr>nMAnonAero_2__037</vt:lpstr>
      <vt:lpstr>nMAnonAero_2__038</vt:lpstr>
      <vt:lpstr>nMAnonAero_2__039</vt:lpstr>
      <vt:lpstr>nMAnonAero_2__040</vt:lpstr>
      <vt:lpstr>nMAnonAero_2__041</vt:lpstr>
      <vt:lpstr>nMAnonAero_2__042</vt:lpstr>
      <vt:lpstr>nMAnonAero_2__043</vt:lpstr>
      <vt:lpstr>nMAnonAero_2__044</vt:lpstr>
      <vt:lpstr>nMAnonAero_2__045</vt:lpstr>
      <vt:lpstr>nMAnonAero_2__046</vt:lpstr>
      <vt:lpstr>nMAnonAero_2__047</vt:lpstr>
      <vt:lpstr>nMAnonAero_2__048</vt:lpstr>
      <vt:lpstr>nMAnonAero_2__049</vt:lpstr>
      <vt:lpstr>nMAnonAero_2__050</vt:lpstr>
      <vt:lpstr>nMAnonAero_2__051</vt:lpstr>
      <vt:lpstr>nMAnonAero_3__001</vt:lpstr>
      <vt:lpstr>nMAnonAero_3__002</vt:lpstr>
      <vt:lpstr>nMAnonAero_3__003</vt:lpstr>
      <vt:lpstr>nMAnonAero_3__004</vt:lpstr>
      <vt:lpstr>nMAnonAero_3__005</vt:lpstr>
      <vt:lpstr>nMAnonAero_3__006</vt:lpstr>
      <vt:lpstr>nMAnonAero_3__007</vt:lpstr>
      <vt:lpstr>nMAnonAero_3__008</vt:lpstr>
      <vt:lpstr>nMAnonAero_3__009</vt:lpstr>
      <vt:lpstr>nMAnonAero_3__010</vt:lpstr>
      <vt:lpstr>nMAnonAero_3__011</vt:lpstr>
      <vt:lpstr>nMAnonAero_3__012</vt:lpstr>
      <vt:lpstr>nMAnonAero_3__013</vt:lpstr>
      <vt:lpstr>nMAnonAero_3__014</vt:lpstr>
      <vt:lpstr>nMAnonAero_3__015</vt:lpstr>
      <vt:lpstr>nMAnonAero_3__016</vt:lpstr>
      <vt:lpstr>nMAnonAero_3__017</vt:lpstr>
      <vt:lpstr>nMAnonAero_3__018</vt:lpstr>
      <vt:lpstr>nMAnonAero_3__019</vt:lpstr>
      <vt:lpstr>nMAnonAero_3__020</vt:lpstr>
      <vt:lpstr>nMAnonAero_3__021</vt:lpstr>
      <vt:lpstr>nMAnonAero_3__022</vt:lpstr>
      <vt:lpstr>nMAnonAero_3__023</vt:lpstr>
      <vt:lpstr>nMAnonAero_3__024</vt:lpstr>
      <vt:lpstr>nMAnonAero_3__025</vt:lpstr>
      <vt:lpstr>nMAnonAero_3__026</vt:lpstr>
      <vt:lpstr>nMAnonAero_3__027</vt:lpstr>
      <vt:lpstr>nMAnonAero_3__028</vt:lpstr>
      <vt:lpstr>nMAnonAero_3__029</vt:lpstr>
      <vt:lpstr>nMAnonAero_3__030</vt:lpstr>
      <vt:lpstr>nMAnonAero_3__031</vt:lpstr>
      <vt:lpstr>nMAnonAero_3__032</vt:lpstr>
      <vt:lpstr>nMAnonAero_3__033</vt:lpstr>
      <vt:lpstr>nMAnonAero_3__034</vt:lpstr>
      <vt:lpstr>nMAnonAero_3__035</vt:lpstr>
      <vt:lpstr>nMAnonAero_3__036</vt:lpstr>
      <vt:lpstr>nMAnonAero_3__037</vt:lpstr>
      <vt:lpstr>nMAnonAero_3__038</vt:lpstr>
      <vt:lpstr>nMAnonAero_3__039</vt:lpstr>
      <vt:lpstr>nMAnonAero_3__040</vt:lpstr>
      <vt:lpstr>nMAnonAero_3__041</vt:lpstr>
      <vt:lpstr>nMAnonAero_3__042</vt:lpstr>
      <vt:lpstr>nMAnonAero_3__043</vt:lpstr>
      <vt:lpstr>nMAnonAero_3__044</vt:lpstr>
      <vt:lpstr>nMAnonAero_3__045</vt:lpstr>
      <vt:lpstr>nMAnonAero_3__046</vt:lpstr>
      <vt:lpstr>nMAnonAero_3__047</vt:lpstr>
      <vt:lpstr>nMAnonAero_3__048</vt:lpstr>
      <vt:lpstr>nMAnonAero_3__049</vt:lpstr>
      <vt:lpstr>nMAnonAero_3__050</vt:lpstr>
      <vt:lpstr>nMAnonAero_3__051</vt:lpstr>
      <vt:lpstr>NoScope</vt:lpstr>
      <vt:lpstr>nShfit1J</vt:lpstr>
      <vt:lpstr>nShfit2J</vt:lpstr>
      <vt:lpstr>nShfit3J</vt:lpstr>
      <vt:lpstr>Number_1</vt:lpstr>
      <vt:lpstr>Number_2</vt:lpstr>
      <vt:lpstr>Number_3</vt:lpstr>
      <vt:lpstr>Number1</vt:lpstr>
      <vt:lpstr>Number2</vt:lpstr>
      <vt:lpstr>Number3</vt:lpstr>
      <vt:lpstr>OASISAdimPosition</vt:lpstr>
      <vt:lpstr>OASISAdmin</vt:lpstr>
      <vt:lpstr>OASISAdminEMail</vt:lpstr>
      <vt:lpstr>OASISAdminTelefax</vt:lpstr>
      <vt:lpstr>OASISAdminTelefon</vt:lpstr>
      <vt:lpstr>OIN</vt:lpstr>
      <vt:lpstr>OIN__001</vt:lpstr>
      <vt:lpstr>OIN__002</vt:lpstr>
      <vt:lpstr>OIN__003</vt:lpstr>
      <vt:lpstr>OIN__004</vt:lpstr>
      <vt:lpstr>OIN__005</vt:lpstr>
      <vt:lpstr>OIN__006</vt:lpstr>
      <vt:lpstr>OIN__007</vt:lpstr>
      <vt:lpstr>OIN__008</vt:lpstr>
      <vt:lpstr>OIN__009</vt:lpstr>
      <vt:lpstr>OIN__010</vt:lpstr>
      <vt:lpstr>OIN__011</vt:lpstr>
      <vt:lpstr>OIN__012</vt:lpstr>
      <vt:lpstr>OIN__013</vt:lpstr>
      <vt:lpstr>OIN__014</vt:lpstr>
      <vt:lpstr>OIN__015</vt:lpstr>
      <vt:lpstr>OIN__016</vt:lpstr>
      <vt:lpstr>OIN__017</vt:lpstr>
      <vt:lpstr>OIN__018</vt:lpstr>
      <vt:lpstr>OIN__019</vt:lpstr>
      <vt:lpstr>OIN__020</vt:lpstr>
      <vt:lpstr>OIN__021</vt:lpstr>
      <vt:lpstr>OIN__022</vt:lpstr>
      <vt:lpstr>OIN__023</vt:lpstr>
      <vt:lpstr>OIN__024</vt:lpstr>
      <vt:lpstr>OIN__025</vt:lpstr>
      <vt:lpstr>OIN__026</vt:lpstr>
      <vt:lpstr>OIN__027</vt:lpstr>
      <vt:lpstr>OIN__028</vt:lpstr>
      <vt:lpstr>OIN__029</vt:lpstr>
      <vt:lpstr>OIN__030</vt:lpstr>
      <vt:lpstr>OIN__031</vt:lpstr>
      <vt:lpstr>OIN__032</vt:lpstr>
      <vt:lpstr>OIN__033</vt:lpstr>
      <vt:lpstr>OIN__034</vt:lpstr>
      <vt:lpstr>OIN__035</vt:lpstr>
      <vt:lpstr>OIN__036</vt:lpstr>
      <vt:lpstr>OIN__037</vt:lpstr>
      <vt:lpstr>OIN__038</vt:lpstr>
      <vt:lpstr>OIN__039</vt:lpstr>
      <vt:lpstr>OIN__040</vt:lpstr>
      <vt:lpstr>OIN__041</vt:lpstr>
      <vt:lpstr>OIN__042</vt:lpstr>
      <vt:lpstr>OIN__043</vt:lpstr>
      <vt:lpstr>OIN__044</vt:lpstr>
      <vt:lpstr>OIN__045</vt:lpstr>
      <vt:lpstr>OIN__046</vt:lpstr>
      <vt:lpstr>OIN__047</vt:lpstr>
      <vt:lpstr>OIN__048</vt:lpstr>
      <vt:lpstr>OIN__049</vt:lpstr>
      <vt:lpstr>OIN__050</vt:lpstr>
      <vt:lpstr>OIN__051</vt:lpstr>
      <vt:lpstr>OneProc_1</vt:lpstr>
      <vt:lpstr>OneProc_2</vt:lpstr>
      <vt:lpstr>OneProc_3</vt:lpstr>
      <vt:lpstr>Ort</vt:lpstr>
      <vt:lpstr>OtherCB</vt:lpstr>
      <vt:lpstr>Part145</vt:lpstr>
      <vt:lpstr>Part145__001</vt:lpstr>
      <vt:lpstr>Part145__002</vt:lpstr>
      <vt:lpstr>Part145__003</vt:lpstr>
      <vt:lpstr>Part145__004</vt:lpstr>
      <vt:lpstr>Part145__005</vt:lpstr>
      <vt:lpstr>Part145__006</vt:lpstr>
      <vt:lpstr>Part145__007</vt:lpstr>
      <vt:lpstr>Part145__008</vt:lpstr>
      <vt:lpstr>Part145__009</vt:lpstr>
      <vt:lpstr>Part145__010</vt:lpstr>
      <vt:lpstr>Part145__011</vt:lpstr>
      <vt:lpstr>Part145__012</vt:lpstr>
      <vt:lpstr>Part145__013</vt:lpstr>
      <vt:lpstr>Part145__014</vt:lpstr>
      <vt:lpstr>Part145__015</vt:lpstr>
      <vt:lpstr>Part145__016</vt:lpstr>
      <vt:lpstr>Part145__017</vt:lpstr>
      <vt:lpstr>Part145__018</vt:lpstr>
      <vt:lpstr>Part145__019</vt:lpstr>
      <vt:lpstr>Part145__020</vt:lpstr>
      <vt:lpstr>Part145__021</vt:lpstr>
      <vt:lpstr>Part145__022</vt:lpstr>
      <vt:lpstr>Part145__023</vt:lpstr>
      <vt:lpstr>Part145__024</vt:lpstr>
      <vt:lpstr>Part145__025</vt:lpstr>
      <vt:lpstr>Part145__026</vt:lpstr>
      <vt:lpstr>Part145__027</vt:lpstr>
      <vt:lpstr>Part145__028</vt:lpstr>
      <vt:lpstr>Part145__029</vt:lpstr>
      <vt:lpstr>Part145__030</vt:lpstr>
      <vt:lpstr>Part145__031</vt:lpstr>
      <vt:lpstr>Part145__032</vt:lpstr>
      <vt:lpstr>Part145__033</vt:lpstr>
      <vt:lpstr>Part145__034</vt:lpstr>
      <vt:lpstr>Part145__035</vt:lpstr>
      <vt:lpstr>Part145__036</vt:lpstr>
      <vt:lpstr>Part145__037</vt:lpstr>
      <vt:lpstr>Part145__038</vt:lpstr>
      <vt:lpstr>Part145__039</vt:lpstr>
      <vt:lpstr>Part145__040</vt:lpstr>
      <vt:lpstr>Part145__041</vt:lpstr>
      <vt:lpstr>Part145__042</vt:lpstr>
      <vt:lpstr>Part145__043</vt:lpstr>
      <vt:lpstr>Part145__044</vt:lpstr>
      <vt:lpstr>Part145__045</vt:lpstr>
      <vt:lpstr>Part145__046</vt:lpstr>
      <vt:lpstr>Part145__047</vt:lpstr>
      <vt:lpstr>Part145__048</vt:lpstr>
      <vt:lpstr>Part145__049</vt:lpstr>
      <vt:lpstr>Part145__050</vt:lpstr>
      <vt:lpstr>Part145__051</vt:lpstr>
      <vt:lpstr>Part21G</vt:lpstr>
      <vt:lpstr>Part21G__001</vt:lpstr>
      <vt:lpstr>Part21G__002</vt:lpstr>
      <vt:lpstr>Part21G__003</vt:lpstr>
      <vt:lpstr>Part21G__004</vt:lpstr>
      <vt:lpstr>Part21G__005</vt:lpstr>
      <vt:lpstr>Part21G__006</vt:lpstr>
      <vt:lpstr>Part21G__007</vt:lpstr>
      <vt:lpstr>Part21G__008</vt:lpstr>
      <vt:lpstr>Part21G__009</vt:lpstr>
      <vt:lpstr>Part21G__010</vt:lpstr>
      <vt:lpstr>Part21G__011</vt:lpstr>
      <vt:lpstr>Part21G__012</vt:lpstr>
      <vt:lpstr>Part21G__013</vt:lpstr>
      <vt:lpstr>Part21G__014</vt:lpstr>
      <vt:lpstr>Part21G__015</vt:lpstr>
      <vt:lpstr>Part21G__016</vt:lpstr>
      <vt:lpstr>Part21G__017</vt:lpstr>
      <vt:lpstr>Part21G__018</vt:lpstr>
      <vt:lpstr>Part21G__019</vt:lpstr>
      <vt:lpstr>Part21G__020</vt:lpstr>
      <vt:lpstr>Part21G__021</vt:lpstr>
      <vt:lpstr>Part21G__022</vt:lpstr>
      <vt:lpstr>Part21G__023</vt:lpstr>
      <vt:lpstr>Part21G__024</vt:lpstr>
      <vt:lpstr>Part21G__025</vt:lpstr>
      <vt:lpstr>Part21G__026</vt:lpstr>
      <vt:lpstr>Part21G__027</vt:lpstr>
      <vt:lpstr>Part21G__028</vt:lpstr>
      <vt:lpstr>Part21G__029</vt:lpstr>
      <vt:lpstr>Part21G__030</vt:lpstr>
      <vt:lpstr>Part21G__031</vt:lpstr>
      <vt:lpstr>Part21G__032</vt:lpstr>
      <vt:lpstr>Part21G__033</vt:lpstr>
      <vt:lpstr>Part21G__034</vt:lpstr>
      <vt:lpstr>Part21G__035</vt:lpstr>
      <vt:lpstr>Part21G__036</vt:lpstr>
      <vt:lpstr>Part21G__037</vt:lpstr>
      <vt:lpstr>Part21G__038</vt:lpstr>
      <vt:lpstr>Part21G__039</vt:lpstr>
      <vt:lpstr>Part21G__040</vt:lpstr>
      <vt:lpstr>Part21G__041</vt:lpstr>
      <vt:lpstr>Part21G__042</vt:lpstr>
      <vt:lpstr>Part21G__043</vt:lpstr>
      <vt:lpstr>Part21G__044</vt:lpstr>
      <vt:lpstr>Part21G__045</vt:lpstr>
      <vt:lpstr>Part21G__046</vt:lpstr>
      <vt:lpstr>Part21G__047</vt:lpstr>
      <vt:lpstr>Part21G__048</vt:lpstr>
      <vt:lpstr>Part21G__049</vt:lpstr>
      <vt:lpstr>Part21G__050</vt:lpstr>
      <vt:lpstr>Part21G__051</vt:lpstr>
      <vt:lpstr>Part21J</vt:lpstr>
      <vt:lpstr>Part21J__001</vt:lpstr>
      <vt:lpstr>Part21J__002</vt:lpstr>
      <vt:lpstr>Part21J__003</vt:lpstr>
      <vt:lpstr>Part21J__004</vt:lpstr>
      <vt:lpstr>Part21J__005</vt:lpstr>
      <vt:lpstr>Part21J__006</vt:lpstr>
      <vt:lpstr>Part21J__007</vt:lpstr>
      <vt:lpstr>Part21J__008</vt:lpstr>
      <vt:lpstr>Part21J__009</vt:lpstr>
      <vt:lpstr>Part21J__010</vt:lpstr>
      <vt:lpstr>Part21J__011</vt:lpstr>
      <vt:lpstr>Part21J__012</vt:lpstr>
      <vt:lpstr>Part21J__013</vt:lpstr>
      <vt:lpstr>Part21J__014</vt:lpstr>
      <vt:lpstr>Part21J__015</vt:lpstr>
      <vt:lpstr>Part21J__016</vt:lpstr>
      <vt:lpstr>Part21J__017</vt:lpstr>
      <vt:lpstr>Part21J__018</vt:lpstr>
      <vt:lpstr>Part21J__019</vt:lpstr>
      <vt:lpstr>Part21J__020</vt:lpstr>
      <vt:lpstr>Part21J__021</vt:lpstr>
      <vt:lpstr>Part21J__022</vt:lpstr>
      <vt:lpstr>Part21J__023</vt:lpstr>
      <vt:lpstr>Part21J__024</vt:lpstr>
      <vt:lpstr>Part21J__025</vt:lpstr>
      <vt:lpstr>Part21J__026</vt:lpstr>
      <vt:lpstr>Part21J__027</vt:lpstr>
      <vt:lpstr>Part21J__028</vt:lpstr>
      <vt:lpstr>Part21J__029</vt:lpstr>
      <vt:lpstr>Part21J__030</vt:lpstr>
      <vt:lpstr>Part21J__031</vt:lpstr>
      <vt:lpstr>Part21J__032</vt:lpstr>
      <vt:lpstr>Part21J__033</vt:lpstr>
      <vt:lpstr>Part21J__034</vt:lpstr>
      <vt:lpstr>Part21J__035</vt:lpstr>
      <vt:lpstr>Part21J__036</vt:lpstr>
      <vt:lpstr>Part21J__037</vt:lpstr>
      <vt:lpstr>Part21J__038</vt:lpstr>
      <vt:lpstr>Part21J__039</vt:lpstr>
      <vt:lpstr>Part21J__040</vt:lpstr>
      <vt:lpstr>Part21J__041</vt:lpstr>
      <vt:lpstr>Part21J__042</vt:lpstr>
      <vt:lpstr>Part21J__043</vt:lpstr>
      <vt:lpstr>Part21J__044</vt:lpstr>
      <vt:lpstr>Part21J__045</vt:lpstr>
      <vt:lpstr>Part21J__046</vt:lpstr>
      <vt:lpstr>Part21J__047</vt:lpstr>
      <vt:lpstr>Part21J__048</vt:lpstr>
      <vt:lpstr>Part21J__049</vt:lpstr>
      <vt:lpstr>Part21J__050</vt:lpstr>
      <vt:lpstr>Part21J__051</vt:lpstr>
      <vt:lpstr>PlanTransfer</vt:lpstr>
      <vt:lpstr>PLZ</vt:lpstr>
      <vt:lpstr>PMAktiv</vt:lpstr>
      <vt:lpstr>Position</vt:lpstr>
      <vt:lpstr>PrepRecAnteil</vt:lpstr>
      <vt:lpstr>PrepRecISO</vt:lpstr>
      <vt:lpstr>PrepRecMin</vt:lpstr>
      <vt:lpstr>PrepRecMinRZ</vt:lpstr>
      <vt:lpstr>PrepRecRundung</vt:lpstr>
      <vt:lpstr>Auditteam!Print_Area</vt:lpstr>
      <vt:lpstr>Bemerkungen!Print_Area</vt:lpstr>
      <vt:lpstr>Stammdaten!Print_Area</vt:lpstr>
      <vt:lpstr>Standortliste!Print_Area</vt:lpstr>
      <vt:lpstr>Upgrade2016!Print_Area</vt:lpstr>
      <vt:lpstr>Programmanpassung</vt:lpstr>
      <vt:lpstr>QMSprache</vt:lpstr>
      <vt:lpstr>QName</vt:lpstr>
      <vt:lpstr>QRev</vt:lpstr>
      <vt:lpstr>Rahmenvertrag</vt:lpstr>
      <vt:lpstr>RegularTransfer</vt:lpstr>
      <vt:lpstr>Reloc_1</vt:lpstr>
      <vt:lpstr>Reloc_2</vt:lpstr>
      <vt:lpstr>Reloc_3</vt:lpstr>
      <vt:lpstr>ReNew__001</vt:lpstr>
      <vt:lpstr>ReNew__002</vt:lpstr>
      <vt:lpstr>ReNew__003</vt:lpstr>
      <vt:lpstr>ReNew__004</vt:lpstr>
      <vt:lpstr>ReNew__005</vt:lpstr>
      <vt:lpstr>ReNew__006</vt:lpstr>
      <vt:lpstr>ReNew__007</vt:lpstr>
      <vt:lpstr>ReNew__008</vt:lpstr>
      <vt:lpstr>ReNew__009</vt:lpstr>
      <vt:lpstr>ReNew__010</vt:lpstr>
      <vt:lpstr>ReNew__011</vt:lpstr>
      <vt:lpstr>ReNew__012</vt:lpstr>
      <vt:lpstr>ReNew__013</vt:lpstr>
      <vt:lpstr>ReNew__014</vt:lpstr>
      <vt:lpstr>ReNew__015</vt:lpstr>
      <vt:lpstr>ReNew__016</vt:lpstr>
      <vt:lpstr>ReNew__017</vt:lpstr>
      <vt:lpstr>ReNew__018</vt:lpstr>
      <vt:lpstr>ReNew__019</vt:lpstr>
      <vt:lpstr>ReNew__020</vt:lpstr>
      <vt:lpstr>ReNew__021</vt:lpstr>
      <vt:lpstr>ReNew__022</vt:lpstr>
      <vt:lpstr>ReNew__023</vt:lpstr>
      <vt:lpstr>ReNew__024</vt:lpstr>
      <vt:lpstr>ReNew__025</vt:lpstr>
      <vt:lpstr>ReNew__026</vt:lpstr>
      <vt:lpstr>ReNew__027</vt:lpstr>
      <vt:lpstr>ReNew__028</vt:lpstr>
      <vt:lpstr>ReNew__029</vt:lpstr>
      <vt:lpstr>ReNew__030</vt:lpstr>
      <vt:lpstr>ReNew__031</vt:lpstr>
      <vt:lpstr>ReNew__032</vt:lpstr>
      <vt:lpstr>ReNew__033</vt:lpstr>
      <vt:lpstr>ReNew__034</vt:lpstr>
      <vt:lpstr>ReNew__035</vt:lpstr>
      <vt:lpstr>ReNew__036</vt:lpstr>
      <vt:lpstr>ReNew__037</vt:lpstr>
      <vt:lpstr>ReNew__038</vt:lpstr>
      <vt:lpstr>ReNew__039</vt:lpstr>
      <vt:lpstr>ReNew__040</vt:lpstr>
      <vt:lpstr>ReNew__041</vt:lpstr>
      <vt:lpstr>ReNew__042</vt:lpstr>
      <vt:lpstr>ReNew__043</vt:lpstr>
      <vt:lpstr>ReNew__044</vt:lpstr>
      <vt:lpstr>ReNew__045</vt:lpstr>
      <vt:lpstr>ReNew__046</vt:lpstr>
      <vt:lpstr>ReNew__047</vt:lpstr>
      <vt:lpstr>ReNew__048</vt:lpstr>
      <vt:lpstr>ReNew__049</vt:lpstr>
      <vt:lpstr>ReNew__050</vt:lpstr>
      <vt:lpstr>ReNew__051</vt:lpstr>
      <vt:lpstr>Restlaufzeit</vt:lpstr>
      <vt:lpstr>Rezertifizierung</vt:lpstr>
      <vt:lpstr>RS</vt:lpstr>
      <vt:lpstr>SA_1</vt:lpstr>
      <vt:lpstr>SA_2</vt:lpstr>
      <vt:lpstr>ScheduledAudit</vt:lpstr>
      <vt:lpstr>Scope</vt:lpstr>
      <vt:lpstr>Scope9001_001</vt:lpstr>
      <vt:lpstr>Scope9001_002</vt:lpstr>
      <vt:lpstr>Scope9001_003</vt:lpstr>
      <vt:lpstr>Scope9001_004</vt:lpstr>
      <vt:lpstr>Scope9001_005</vt:lpstr>
      <vt:lpstr>Scope9001_006</vt:lpstr>
      <vt:lpstr>Scope9001_007</vt:lpstr>
      <vt:lpstr>Scope9001_008</vt:lpstr>
      <vt:lpstr>Scope9001_009</vt:lpstr>
      <vt:lpstr>Scope9001_010</vt:lpstr>
      <vt:lpstr>Scope9001_011</vt:lpstr>
      <vt:lpstr>Scope9001_012</vt:lpstr>
      <vt:lpstr>Scope9001_013</vt:lpstr>
      <vt:lpstr>Scope9001_014</vt:lpstr>
      <vt:lpstr>Scope9001_015</vt:lpstr>
      <vt:lpstr>Scope9001_016</vt:lpstr>
      <vt:lpstr>Scope9001_017</vt:lpstr>
      <vt:lpstr>Scope9001_018</vt:lpstr>
      <vt:lpstr>Scope9001_019</vt:lpstr>
      <vt:lpstr>Scope9001_020</vt:lpstr>
      <vt:lpstr>Scope9001_021</vt:lpstr>
      <vt:lpstr>Scope9001_022</vt:lpstr>
      <vt:lpstr>Scope9001_023</vt:lpstr>
      <vt:lpstr>Scope9001_024</vt:lpstr>
      <vt:lpstr>Scope9001_025</vt:lpstr>
      <vt:lpstr>Scope9001_026</vt:lpstr>
      <vt:lpstr>Scope9001_027</vt:lpstr>
      <vt:lpstr>Scope9001_028</vt:lpstr>
      <vt:lpstr>Scope9001_029</vt:lpstr>
      <vt:lpstr>Scope9001_030</vt:lpstr>
      <vt:lpstr>Scope9001_031</vt:lpstr>
      <vt:lpstr>Scope9001_032</vt:lpstr>
      <vt:lpstr>Scope9001_033</vt:lpstr>
      <vt:lpstr>Scope9001_034</vt:lpstr>
      <vt:lpstr>Scope9001_035</vt:lpstr>
      <vt:lpstr>Scope9001_036</vt:lpstr>
      <vt:lpstr>Scope9001_037</vt:lpstr>
      <vt:lpstr>Scope9001_038</vt:lpstr>
      <vt:lpstr>Scope9001_039</vt:lpstr>
      <vt:lpstr>Scope9001_040</vt:lpstr>
      <vt:lpstr>Scope9001_041</vt:lpstr>
      <vt:lpstr>Scope9001_042</vt:lpstr>
      <vt:lpstr>Scope9001_043</vt:lpstr>
      <vt:lpstr>Scope9001_044</vt:lpstr>
      <vt:lpstr>Scope9001_045</vt:lpstr>
      <vt:lpstr>Scope9001_046</vt:lpstr>
      <vt:lpstr>Scope9001_047</vt:lpstr>
      <vt:lpstr>Scope9001_048</vt:lpstr>
      <vt:lpstr>Scope9001_049</vt:lpstr>
      <vt:lpstr>Scope9001_050</vt:lpstr>
      <vt:lpstr>Scope9001_051</vt:lpstr>
      <vt:lpstr>Scope9001_052</vt:lpstr>
      <vt:lpstr>Scope9100_001</vt:lpstr>
      <vt:lpstr>Scope9100_002</vt:lpstr>
      <vt:lpstr>Scope9100_003</vt:lpstr>
      <vt:lpstr>Scope9100_004</vt:lpstr>
      <vt:lpstr>Scope9100_005</vt:lpstr>
      <vt:lpstr>Scope9100_006</vt:lpstr>
      <vt:lpstr>Scope9100_007</vt:lpstr>
      <vt:lpstr>Scope9100_008</vt:lpstr>
      <vt:lpstr>Scope9100_009</vt:lpstr>
      <vt:lpstr>Scope9100_010</vt:lpstr>
      <vt:lpstr>Scope9100_011</vt:lpstr>
      <vt:lpstr>Scope9100_012</vt:lpstr>
      <vt:lpstr>Scope9100_013</vt:lpstr>
      <vt:lpstr>Scope9100_014</vt:lpstr>
      <vt:lpstr>Scope9100_015</vt:lpstr>
      <vt:lpstr>Scope9100_016</vt:lpstr>
      <vt:lpstr>Scope9100_017</vt:lpstr>
      <vt:lpstr>Scope9100_018</vt:lpstr>
      <vt:lpstr>Scope9100_019</vt:lpstr>
      <vt:lpstr>Scope9100_020</vt:lpstr>
      <vt:lpstr>Scope9100_021</vt:lpstr>
      <vt:lpstr>Scope9100_022</vt:lpstr>
      <vt:lpstr>Scope9100_023</vt:lpstr>
      <vt:lpstr>Scope9100_024</vt:lpstr>
      <vt:lpstr>Scope9100_025</vt:lpstr>
      <vt:lpstr>Scope9100_026</vt:lpstr>
      <vt:lpstr>Scope9100_027</vt:lpstr>
      <vt:lpstr>Scope9100_028</vt:lpstr>
      <vt:lpstr>Scope9100_029</vt:lpstr>
      <vt:lpstr>Scope9100_030</vt:lpstr>
      <vt:lpstr>Scope9100_031</vt:lpstr>
      <vt:lpstr>Scope9100_032</vt:lpstr>
      <vt:lpstr>Scope9100_033</vt:lpstr>
      <vt:lpstr>Scope9100_034</vt:lpstr>
      <vt:lpstr>Scope9100_035</vt:lpstr>
      <vt:lpstr>Scope9100_036</vt:lpstr>
      <vt:lpstr>Scope9100_037</vt:lpstr>
      <vt:lpstr>Scope9100_038</vt:lpstr>
      <vt:lpstr>Scope9100_039</vt:lpstr>
      <vt:lpstr>Scope9100_040</vt:lpstr>
      <vt:lpstr>Scope9100_041</vt:lpstr>
      <vt:lpstr>Scope9100_042</vt:lpstr>
      <vt:lpstr>Scope9100_043</vt:lpstr>
      <vt:lpstr>Scope9100_044</vt:lpstr>
      <vt:lpstr>Scope9100_045</vt:lpstr>
      <vt:lpstr>Scope9100_046</vt:lpstr>
      <vt:lpstr>Scope9100_047</vt:lpstr>
      <vt:lpstr>Scope9100_048</vt:lpstr>
      <vt:lpstr>Scope9100_049</vt:lpstr>
      <vt:lpstr>Scope9100_050</vt:lpstr>
      <vt:lpstr>Scope9100_051</vt:lpstr>
      <vt:lpstr>Scope9100_052</vt:lpstr>
      <vt:lpstr>Scope9110_001</vt:lpstr>
      <vt:lpstr>Scope9110_002</vt:lpstr>
      <vt:lpstr>Scope9110_003</vt:lpstr>
      <vt:lpstr>Scope9110_004</vt:lpstr>
      <vt:lpstr>Scope9110_005</vt:lpstr>
      <vt:lpstr>Scope9110_006</vt:lpstr>
      <vt:lpstr>Scope9110_007</vt:lpstr>
      <vt:lpstr>Scope9110_008</vt:lpstr>
      <vt:lpstr>Scope9110_009</vt:lpstr>
      <vt:lpstr>Scope9110_010</vt:lpstr>
      <vt:lpstr>Scope9110_011</vt:lpstr>
      <vt:lpstr>Scope9110_012</vt:lpstr>
      <vt:lpstr>Scope9110_013</vt:lpstr>
      <vt:lpstr>Scope9110_014</vt:lpstr>
      <vt:lpstr>Scope9110_015</vt:lpstr>
      <vt:lpstr>Scope9110_016</vt:lpstr>
      <vt:lpstr>Scope9110_017</vt:lpstr>
      <vt:lpstr>Scope9110_018</vt:lpstr>
      <vt:lpstr>Scope9110_019</vt:lpstr>
      <vt:lpstr>Scope9110_020</vt:lpstr>
      <vt:lpstr>Scope9110_021</vt:lpstr>
      <vt:lpstr>Scope9110_022</vt:lpstr>
      <vt:lpstr>Scope9110_023</vt:lpstr>
      <vt:lpstr>Scope9110_024</vt:lpstr>
      <vt:lpstr>Scope9110_025</vt:lpstr>
      <vt:lpstr>Scope9110_026</vt:lpstr>
      <vt:lpstr>Scope9110_027</vt:lpstr>
      <vt:lpstr>Scope9110_028</vt:lpstr>
      <vt:lpstr>Scope9110_029</vt:lpstr>
      <vt:lpstr>Scope9110_030</vt:lpstr>
      <vt:lpstr>Scope9110_031</vt:lpstr>
      <vt:lpstr>Scope9110_032</vt:lpstr>
      <vt:lpstr>Scope9110_033</vt:lpstr>
      <vt:lpstr>Scope9110_034</vt:lpstr>
      <vt:lpstr>Scope9110_035</vt:lpstr>
      <vt:lpstr>Scope9110_036</vt:lpstr>
      <vt:lpstr>Scope9110_037</vt:lpstr>
      <vt:lpstr>Scope9110_038</vt:lpstr>
      <vt:lpstr>Scope9110_039</vt:lpstr>
      <vt:lpstr>Scope9110_040</vt:lpstr>
      <vt:lpstr>Scope9110_041</vt:lpstr>
      <vt:lpstr>Scope9110_042</vt:lpstr>
      <vt:lpstr>Scope9110_043</vt:lpstr>
      <vt:lpstr>Scope9110_044</vt:lpstr>
      <vt:lpstr>Scope9110_045</vt:lpstr>
      <vt:lpstr>Scope9110_046</vt:lpstr>
      <vt:lpstr>Scope9110_047</vt:lpstr>
      <vt:lpstr>Scope9110_048</vt:lpstr>
      <vt:lpstr>Scope9110_049</vt:lpstr>
      <vt:lpstr>Scope9110_050</vt:lpstr>
      <vt:lpstr>Scope9110_051</vt:lpstr>
      <vt:lpstr>Scope9110_052</vt:lpstr>
      <vt:lpstr>Scope9120_001</vt:lpstr>
      <vt:lpstr>Scope9120_002</vt:lpstr>
      <vt:lpstr>Scope9120_003</vt:lpstr>
      <vt:lpstr>Scope9120_004</vt:lpstr>
      <vt:lpstr>Scope9120_005</vt:lpstr>
      <vt:lpstr>Scope9120_006</vt:lpstr>
      <vt:lpstr>Scope9120_007</vt:lpstr>
      <vt:lpstr>Scope9120_008</vt:lpstr>
      <vt:lpstr>Scope9120_009</vt:lpstr>
      <vt:lpstr>Scope9120_010</vt:lpstr>
      <vt:lpstr>Scope9120_011</vt:lpstr>
      <vt:lpstr>Scope9120_012</vt:lpstr>
      <vt:lpstr>Scope9120_013</vt:lpstr>
      <vt:lpstr>Scope9120_014</vt:lpstr>
      <vt:lpstr>Scope9120_015</vt:lpstr>
      <vt:lpstr>Scope9120_016</vt:lpstr>
      <vt:lpstr>Scope9120_017</vt:lpstr>
      <vt:lpstr>Scope9120_018</vt:lpstr>
      <vt:lpstr>Scope9120_019</vt:lpstr>
      <vt:lpstr>Scope9120_020</vt:lpstr>
      <vt:lpstr>Scope9120_021</vt:lpstr>
      <vt:lpstr>Scope9120_022</vt:lpstr>
      <vt:lpstr>Scope9120_023</vt:lpstr>
      <vt:lpstr>Scope9120_024</vt:lpstr>
      <vt:lpstr>Scope9120_025</vt:lpstr>
      <vt:lpstr>Scope9120_026</vt:lpstr>
      <vt:lpstr>Scope9120_027</vt:lpstr>
      <vt:lpstr>Scope9120_028</vt:lpstr>
      <vt:lpstr>Scope9120_029</vt:lpstr>
      <vt:lpstr>Scope9120_030</vt:lpstr>
      <vt:lpstr>Scope9120_031</vt:lpstr>
      <vt:lpstr>Scope9120_032</vt:lpstr>
      <vt:lpstr>Scope9120_033</vt:lpstr>
      <vt:lpstr>Scope9120_034</vt:lpstr>
      <vt:lpstr>Scope9120_035</vt:lpstr>
      <vt:lpstr>Scope9120_036</vt:lpstr>
      <vt:lpstr>Scope9120_037</vt:lpstr>
      <vt:lpstr>Scope9120_038</vt:lpstr>
      <vt:lpstr>Scope9120_039</vt:lpstr>
      <vt:lpstr>Scope9120_040</vt:lpstr>
      <vt:lpstr>Scope9120_041</vt:lpstr>
      <vt:lpstr>Scope9120_042</vt:lpstr>
      <vt:lpstr>Scope9120_043</vt:lpstr>
      <vt:lpstr>Scope9120_044</vt:lpstr>
      <vt:lpstr>Scope9120_045</vt:lpstr>
      <vt:lpstr>Scope9120_046</vt:lpstr>
      <vt:lpstr>Scope9120_047</vt:lpstr>
      <vt:lpstr>Scope9120_048</vt:lpstr>
      <vt:lpstr>Scope9120_049</vt:lpstr>
      <vt:lpstr>Scope9120_050</vt:lpstr>
      <vt:lpstr>Scope9120_051</vt:lpstr>
      <vt:lpstr>Scope9120_052</vt:lpstr>
      <vt:lpstr>ScopeEN9100</vt:lpstr>
      <vt:lpstr>ScopeEN9110</vt:lpstr>
      <vt:lpstr>ScopeEN9120</vt:lpstr>
      <vt:lpstr>ScopeISO9001</vt:lpstr>
      <vt:lpstr>Scopeliste</vt:lpstr>
      <vt:lpstr>SE_Camp</vt:lpstr>
      <vt:lpstr>SE_Cplx</vt:lpstr>
      <vt:lpstr>SE_E1</vt:lpstr>
      <vt:lpstr>SE_E2</vt:lpstr>
      <vt:lpstr>SE_E3</vt:lpstr>
      <vt:lpstr>SE_E4</vt:lpstr>
      <vt:lpstr>SE_E5</vt:lpstr>
      <vt:lpstr>SE_E6</vt:lpstr>
      <vt:lpstr>SE_E7</vt:lpstr>
      <vt:lpstr>SE_MulSit</vt:lpstr>
      <vt:lpstr>SE_nSites</vt:lpstr>
      <vt:lpstr>SE_SelSites</vt:lpstr>
      <vt:lpstr>SE_SevSit</vt:lpstr>
      <vt:lpstr>SE_SinSit</vt:lpstr>
      <vt:lpstr>SeveralSite</vt:lpstr>
      <vt:lpstr>Shifts1__001</vt:lpstr>
      <vt:lpstr>Shifts1__002</vt:lpstr>
      <vt:lpstr>Shifts1__003</vt:lpstr>
      <vt:lpstr>Shifts1__004</vt:lpstr>
      <vt:lpstr>Shifts1__005</vt:lpstr>
      <vt:lpstr>Shifts1__006</vt:lpstr>
      <vt:lpstr>Shifts1__007</vt:lpstr>
      <vt:lpstr>Shifts1__008</vt:lpstr>
      <vt:lpstr>Shifts1__009</vt:lpstr>
      <vt:lpstr>Shifts1__010</vt:lpstr>
      <vt:lpstr>Shifts1__011</vt:lpstr>
      <vt:lpstr>Shifts1__012</vt:lpstr>
      <vt:lpstr>Shifts1__013</vt:lpstr>
      <vt:lpstr>Shifts1__014</vt:lpstr>
      <vt:lpstr>Shifts1__015</vt:lpstr>
      <vt:lpstr>Shifts1__016</vt:lpstr>
      <vt:lpstr>Shifts1__017</vt:lpstr>
      <vt:lpstr>Shifts1__018</vt:lpstr>
      <vt:lpstr>Shifts1__019</vt:lpstr>
      <vt:lpstr>Shifts1__020</vt:lpstr>
      <vt:lpstr>Shifts1__021</vt:lpstr>
      <vt:lpstr>Shifts1__022</vt:lpstr>
      <vt:lpstr>Shifts1__023</vt:lpstr>
      <vt:lpstr>Shifts1__024</vt:lpstr>
      <vt:lpstr>Shifts1__025</vt:lpstr>
      <vt:lpstr>Shifts1__026</vt:lpstr>
      <vt:lpstr>Shifts1__027</vt:lpstr>
      <vt:lpstr>Shifts1__028</vt:lpstr>
      <vt:lpstr>Shifts1__029</vt:lpstr>
      <vt:lpstr>Shifts1__030</vt:lpstr>
      <vt:lpstr>Shifts1__031</vt:lpstr>
      <vt:lpstr>Shifts1__032</vt:lpstr>
      <vt:lpstr>Shifts1__033</vt:lpstr>
      <vt:lpstr>Shifts1__034</vt:lpstr>
      <vt:lpstr>Shifts1__035</vt:lpstr>
      <vt:lpstr>Shifts1__036</vt:lpstr>
      <vt:lpstr>Shifts1__037</vt:lpstr>
      <vt:lpstr>Shifts1__038</vt:lpstr>
      <vt:lpstr>Shifts1__039</vt:lpstr>
      <vt:lpstr>Shifts1__040</vt:lpstr>
      <vt:lpstr>Shifts1__041</vt:lpstr>
      <vt:lpstr>Shifts1__042</vt:lpstr>
      <vt:lpstr>Shifts1__043</vt:lpstr>
      <vt:lpstr>Shifts1__044</vt:lpstr>
      <vt:lpstr>Shifts1__045</vt:lpstr>
      <vt:lpstr>Shifts1__046</vt:lpstr>
      <vt:lpstr>Shifts1__047</vt:lpstr>
      <vt:lpstr>Shifts1__048</vt:lpstr>
      <vt:lpstr>Shifts1__049</vt:lpstr>
      <vt:lpstr>Shifts1__050</vt:lpstr>
      <vt:lpstr>Shifts1__051</vt:lpstr>
      <vt:lpstr>Shifts2__001</vt:lpstr>
      <vt:lpstr>Shifts2__002</vt:lpstr>
      <vt:lpstr>Shifts2__003</vt:lpstr>
      <vt:lpstr>Shifts2__004</vt:lpstr>
      <vt:lpstr>Shifts2__005</vt:lpstr>
      <vt:lpstr>Shifts2__006</vt:lpstr>
      <vt:lpstr>Shifts2__007</vt:lpstr>
      <vt:lpstr>Shifts2__008</vt:lpstr>
      <vt:lpstr>Shifts2__009</vt:lpstr>
      <vt:lpstr>Shifts2__010</vt:lpstr>
      <vt:lpstr>Shifts2__011</vt:lpstr>
      <vt:lpstr>Shifts2__012</vt:lpstr>
      <vt:lpstr>Shifts2__013</vt:lpstr>
      <vt:lpstr>Shifts2__014</vt:lpstr>
      <vt:lpstr>Shifts2__015</vt:lpstr>
      <vt:lpstr>Shifts2__016</vt:lpstr>
      <vt:lpstr>Shifts2__017</vt:lpstr>
      <vt:lpstr>Shifts2__018</vt:lpstr>
      <vt:lpstr>Shifts2__019</vt:lpstr>
      <vt:lpstr>Shifts2__020</vt:lpstr>
      <vt:lpstr>Shifts2__021</vt:lpstr>
      <vt:lpstr>Shifts2__022</vt:lpstr>
      <vt:lpstr>Shifts2__023</vt:lpstr>
      <vt:lpstr>Shifts2__024</vt:lpstr>
      <vt:lpstr>Shifts2__025</vt:lpstr>
      <vt:lpstr>Shifts2__026</vt:lpstr>
      <vt:lpstr>Shifts2__027</vt:lpstr>
      <vt:lpstr>Shifts2__028</vt:lpstr>
      <vt:lpstr>Shifts2__029</vt:lpstr>
      <vt:lpstr>Shifts2__030</vt:lpstr>
      <vt:lpstr>Shifts2__031</vt:lpstr>
      <vt:lpstr>Shifts2__032</vt:lpstr>
      <vt:lpstr>Shifts2__033</vt:lpstr>
      <vt:lpstr>Shifts2__034</vt:lpstr>
      <vt:lpstr>Shifts2__035</vt:lpstr>
      <vt:lpstr>Shifts2__036</vt:lpstr>
      <vt:lpstr>Shifts2__037</vt:lpstr>
      <vt:lpstr>Shifts2__038</vt:lpstr>
      <vt:lpstr>Shifts2__039</vt:lpstr>
      <vt:lpstr>Shifts2__040</vt:lpstr>
      <vt:lpstr>Shifts2__041</vt:lpstr>
      <vt:lpstr>Shifts2__042</vt:lpstr>
      <vt:lpstr>Shifts2__043</vt:lpstr>
      <vt:lpstr>Shifts2__044</vt:lpstr>
      <vt:lpstr>Shifts2__045</vt:lpstr>
      <vt:lpstr>Shifts2__046</vt:lpstr>
      <vt:lpstr>Shifts2__047</vt:lpstr>
      <vt:lpstr>Shifts2__048</vt:lpstr>
      <vt:lpstr>Shifts2__049</vt:lpstr>
      <vt:lpstr>Shifts2__050</vt:lpstr>
      <vt:lpstr>Shifts2__051</vt:lpstr>
      <vt:lpstr>Shifts3__001</vt:lpstr>
      <vt:lpstr>Shifts3__002</vt:lpstr>
      <vt:lpstr>Shifts3__003</vt:lpstr>
      <vt:lpstr>Shifts3__004</vt:lpstr>
      <vt:lpstr>Shifts3__005</vt:lpstr>
      <vt:lpstr>Shifts3__006</vt:lpstr>
      <vt:lpstr>Shifts3__007</vt:lpstr>
      <vt:lpstr>Shifts3__008</vt:lpstr>
      <vt:lpstr>Shifts3__009</vt:lpstr>
      <vt:lpstr>Shifts3__010</vt:lpstr>
      <vt:lpstr>Shifts3__011</vt:lpstr>
      <vt:lpstr>Shifts3__012</vt:lpstr>
      <vt:lpstr>Shifts3__013</vt:lpstr>
      <vt:lpstr>Shifts3__014</vt:lpstr>
      <vt:lpstr>Shifts3__015</vt:lpstr>
      <vt:lpstr>Shifts3__016</vt:lpstr>
      <vt:lpstr>Shifts3__017</vt:lpstr>
      <vt:lpstr>Shifts3__018</vt:lpstr>
      <vt:lpstr>Shifts3__019</vt:lpstr>
      <vt:lpstr>Shifts3__020</vt:lpstr>
      <vt:lpstr>Shifts3__021</vt:lpstr>
      <vt:lpstr>Shifts3__022</vt:lpstr>
      <vt:lpstr>Shifts3__023</vt:lpstr>
      <vt:lpstr>Shifts3__024</vt:lpstr>
      <vt:lpstr>Shifts3__025</vt:lpstr>
      <vt:lpstr>Shifts3__026</vt:lpstr>
      <vt:lpstr>Shifts3__027</vt:lpstr>
      <vt:lpstr>Shifts3__028</vt:lpstr>
      <vt:lpstr>Shifts3__029</vt:lpstr>
      <vt:lpstr>Shifts3__030</vt:lpstr>
      <vt:lpstr>Shifts3__031</vt:lpstr>
      <vt:lpstr>Shifts3__032</vt:lpstr>
      <vt:lpstr>Shifts3__033</vt:lpstr>
      <vt:lpstr>Shifts3__034</vt:lpstr>
      <vt:lpstr>Shifts3__035</vt:lpstr>
      <vt:lpstr>Shifts3__036</vt:lpstr>
      <vt:lpstr>Shifts3__037</vt:lpstr>
      <vt:lpstr>Shifts3__038</vt:lpstr>
      <vt:lpstr>Shifts3__039</vt:lpstr>
      <vt:lpstr>Shifts3__040</vt:lpstr>
      <vt:lpstr>Shifts3__041</vt:lpstr>
      <vt:lpstr>Shifts3__042</vt:lpstr>
      <vt:lpstr>Shifts3__043</vt:lpstr>
      <vt:lpstr>Shifts3__044</vt:lpstr>
      <vt:lpstr>Shifts3__045</vt:lpstr>
      <vt:lpstr>Shifts3__046</vt:lpstr>
      <vt:lpstr>Shifts3__047</vt:lpstr>
      <vt:lpstr>Shifts3__048</vt:lpstr>
      <vt:lpstr>Shifts3__049</vt:lpstr>
      <vt:lpstr>Shifts3__050</vt:lpstr>
      <vt:lpstr>Shifts3__051</vt:lpstr>
      <vt:lpstr>SingleSite</vt:lpstr>
      <vt:lpstr>Site_001</vt:lpstr>
      <vt:lpstr>Site_002</vt:lpstr>
      <vt:lpstr>Site_003</vt:lpstr>
      <vt:lpstr>Site_004</vt:lpstr>
      <vt:lpstr>Site_005</vt:lpstr>
      <vt:lpstr>Site_006</vt:lpstr>
      <vt:lpstr>Site_007</vt:lpstr>
      <vt:lpstr>Site_008</vt:lpstr>
      <vt:lpstr>Site_009</vt:lpstr>
      <vt:lpstr>Site_010</vt:lpstr>
      <vt:lpstr>Site_011</vt:lpstr>
      <vt:lpstr>Site_012</vt:lpstr>
      <vt:lpstr>Site_013</vt:lpstr>
      <vt:lpstr>Site_014</vt:lpstr>
      <vt:lpstr>Site_015</vt:lpstr>
      <vt:lpstr>Site_016</vt:lpstr>
      <vt:lpstr>Site_017</vt:lpstr>
      <vt:lpstr>Site_018</vt:lpstr>
      <vt:lpstr>Site_019</vt:lpstr>
      <vt:lpstr>Site_020</vt:lpstr>
      <vt:lpstr>Site_021</vt:lpstr>
      <vt:lpstr>Site_022</vt:lpstr>
      <vt:lpstr>Site_023</vt:lpstr>
      <vt:lpstr>Site_024</vt:lpstr>
      <vt:lpstr>Site_025</vt:lpstr>
      <vt:lpstr>Site_026</vt:lpstr>
      <vt:lpstr>Site_027</vt:lpstr>
      <vt:lpstr>Site_028</vt:lpstr>
      <vt:lpstr>Site_029</vt:lpstr>
      <vt:lpstr>Site_030</vt:lpstr>
      <vt:lpstr>Site_031</vt:lpstr>
      <vt:lpstr>Site_032</vt:lpstr>
      <vt:lpstr>Site_033</vt:lpstr>
      <vt:lpstr>Site_034</vt:lpstr>
      <vt:lpstr>Site_035</vt:lpstr>
      <vt:lpstr>Site_036</vt:lpstr>
      <vt:lpstr>Site_037</vt:lpstr>
      <vt:lpstr>Site_038</vt:lpstr>
      <vt:lpstr>Site_039</vt:lpstr>
      <vt:lpstr>Site_040</vt:lpstr>
      <vt:lpstr>Site_041</vt:lpstr>
      <vt:lpstr>Site_042</vt:lpstr>
      <vt:lpstr>Site_043</vt:lpstr>
      <vt:lpstr>Site_044</vt:lpstr>
      <vt:lpstr>Site_045</vt:lpstr>
      <vt:lpstr>Site_046</vt:lpstr>
      <vt:lpstr>Site_047</vt:lpstr>
      <vt:lpstr>Site_048</vt:lpstr>
      <vt:lpstr>Site_049</vt:lpstr>
      <vt:lpstr>Site_050</vt:lpstr>
      <vt:lpstr>Site_051</vt:lpstr>
      <vt:lpstr>SiteDesign_001</vt:lpstr>
      <vt:lpstr>SiteDesign_002</vt:lpstr>
      <vt:lpstr>SiteDesign_003</vt:lpstr>
      <vt:lpstr>SiteDesign_004</vt:lpstr>
      <vt:lpstr>SiteDesign_005</vt:lpstr>
      <vt:lpstr>SiteDesign_006</vt:lpstr>
      <vt:lpstr>SiteDesign_007</vt:lpstr>
      <vt:lpstr>SiteDesign_008</vt:lpstr>
      <vt:lpstr>SiteDesign_009</vt:lpstr>
      <vt:lpstr>SiteDesign_010</vt:lpstr>
      <vt:lpstr>SiteDesign_011</vt:lpstr>
      <vt:lpstr>SiteDesign_012</vt:lpstr>
      <vt:lpstr>SiteDesign_013</vt:lpstr>
      <vt:lpstr>SiteDesign_014</vt:lpstr>
      <vt:lpstr>SiteDesign_015</vt:lpstr>
      <vt:lpstr>SiteDesign_016</vt:lpstr>
      <vt:lpstr>SiteDesign_017</vt:lpstr>
      <vt:lpstr>SiteDesign_018</vt:lpstr>
      <vt:lpstr>SiteDesign_019</vt:lpstr>
      <vt:lpstr>SiteDesign_020</vt:lpstr>
      <vt:lpstr>SiteDesign_021</vt:lpstr>
      <vt:lpstr>SiteDesign_022</vt:lpstr>
      <vt:lpstr>SiteDesign_023</vt:lpstr>
      <vt:lpstr>SiteDesign_024</vt:lpstr>
      <vt:lpstr>SiteDesign_025</vt:lpstr>
      <vt:lpstr>SiteDesign_026</vt:lpstr>
      <vt:lpstr>SiteDesign_027</vt:lpstr>
      <vt:lpstr>SiteDesign_028</vt:lpstr>
      <vt:lpstr>SiteDesign_029</vt:lpstr>
      <vt:lpstr>SiteDesign_030</vt:lpstr>
      <vt:lpstr>SiteDesign_031</vt:lpstr>
      <vt:lpstr>SiteDesign_032</vt:lpstr>
      <vt:lpstr>SiteDesign_033</vt:lpstr>
      <vt:lpstr>SiteDesign_034</vt:lpstr>
      <vt:lpstr>SiteDesign_035</vt:lpstr>
      <vt:lpstr>SiteDesign_036</vt:lpstr>
      <vt:lpstr>SiteDesign_037</vt:lpstr>
      <vt:lpstr>SiteDesign_038</vt:lpstr>
      <vt:lpstr>SiteDesign_039</vt:lpstr>
      <vt:lpstr>SiteDesign_040</vt:lpstr>
      <vt:lpstr>SiteDesign_041</vt:lpstr>
      <vt:lpstr>SiteDesign_042</vt:lpstr>
      <vt:lpstr>SiteDesign_043</vt:lpstr>
      <vt:lpstr>SiteDesign_044</vt:lpstr>
      <vt:lpstr>SiteDesign_045</vt:lpstr>
      <vt:lpstr>SiteDesign_046</vt:lpstr>
      <vt:lpstr>SiteDesign_047</vt:lpstr>
      <vt:lpstr>SiteDesign_048</vt:lpstr>
      <vt:lpstr>SiteDesign_049</vt:lpstr>
      <vt:lpstr>SiteDesign_050</vt:lpstr>
      <vt:lpstr>SiteDesign_051</vt:lpstr>
      <vt:lpstr>SiteDesign_052</vt:lpstr>
      <vt:lpstr>SiteListe</vt:lpstr>
      <vt:lpstr>Sonstiges</vt:lpstr>
      <vt:lpstr>Sp1_1</vt:lpstr>
      <vt:lpstr>Sp1_2</vt:lpstr>
      <vt:lpstr>Sp1_3</vt:lpstr>
      <vt:lpstr>Sp2_1</vt:lpstr>
      <vt:lpstr>SP2_2</vt:lpstr>
      <vt:lpstr>SP2_3</vt:lpstr>
      <vt:lpstr>Sp3_1</vt:lpstr>
      <vt:lpstr>SP3_2</vt:lpstr>
      <vt:lpstr>SP3_3</vt:lpstr>
      <vt:lpstr>SpA</vt:lpstr>
      <vt:lpstr>Spaltenauswahl</vt:lpstr>
      <vt:lpstr>Sprachauswahl</vt:lpstr>
      <vt:lpstr>Sprache</vt:lpstr>
      <vt:lpstr>Sprachenliste</vt:lpstr>
      <vt:lpstr>Sprachkompetenz</vt:lpstr>
      <vt:lpstr>SprAudit__001</vt:lpstr>
      <vt:lpstr>SprAudit__002</vt:lpstr>
      <vt:lpstr>SprAudit__003</vt:lpstr>
      <vt:lpstr>SprAudit__004</vt:lpstr>
      <vt:lpstr>SprAudit__005</vt:lpstr>
      <vt:lpstr>SprAudit__006</vt:lpstr>
      <vt:lpstr>SprAudit__007</vt:lpstr>
      <vt:lpstr>SprAudit__008</vt:lpstr>
      <vt:lpstr>SprAudit__009</vt:lpstr>
      <vt:lpstr>SprAudit__010</vt:lpstr>
      <vt:lpstr>SprAudit__011</vt:lpstr>
      <vt:lpstr>SprAudit__012</vt:lpstr>
      <vt:lpstr>SprAudit__013</vt:lpstr>
      <vt:lpstr>SprAudit__014</vt:lpstr>
      <vt:lpstr>SprAudit__015</vt:lpstr>
      <vt:lpstr>SprAudit__016</vt:lpstr>
      <vt:lpstr>SprAudit__017</vt:lpstr>
      <vt:lpstr>SprAudit__018</vt:lpstr>
      <vt:lpstr>SprAudit__019</vt:lpstr>
      <vt:lpstr>SprAudit__020</vt:lpstr>
      <vt:lpstr>SprAudit__021</vt:lpstr>
      <vt:lpstr>SprAudit__022</vt:lpstr>
      <vt:lpstr>SprAudit__023</vt:lpstr>
      <vt:lpstr>SprAudit__024</vt:lpstr>
      <vt:lpstr>SprAudit__025</vt:lpstr>
      <vt:lpstr>SprAudit__026</vt:lpstr>
      <vt:lpstr>SprAudit__027</vt:lpstr>
      <vt:lpstr>SprAudit__028</vt:lpstr>
      <vt:lpstr>SprAudit__029</vt:lpstr>
      <vt:lpstr>SprAudit__030</vt:lpstr>
      <vt:lpstr>SprAudit__031</vt:lpstr>
      <vt:lpstr>SprAudit__032</vt:lpstr>
      <vt:lpstr>SprAudit__033</vt:lpstr>
      <vt:lpstr>SprAudit__034</vt:lpstr>
      <vt:lpstr>SprAudit__035</vt:lpstr>
      <vt:lpstr>SprAudit__036</vt:lpstr>
      <vt:lpstr>SprAudit__037</vt:lpstr>
      <vt:lpstr>SprAudit__038</vt:lpstr>
      <vt:lpstr>SprAudit__039</vt:lpstr>
      <vt:lpstr>SprAudit__040</vt:lpstr>
      <vt:lpstr>SprAudit__041</vt:lpstr>
      <vt:lpstr>SprAudit__042</vt:lpstr>
      <vt:lpstr>SprAudit__043</vt:lpstr>
      <vt:lpstr>SprAudit__044</vt:lpstr>
      <vt:lpstr>SprAudit__045</vt:lpstr>
      <vt:lpstr>SprAudit__046</vt:lpstr>
      <vt:lpstr>SprAudit__047</vt:lpstr>
      <vt:lpstr>SprAudit__048</vt:lpstr>
      <vt:lpstr>SprAudit__049</vt:lpstr>
      <vt:lpstr>SprAudit__050</vt:lpstr>
      <vt:lpstr>SprAudit__051</vt:lpstr>
      <vt:lpstr>SprDoc__001</vt:lpstr>
      <vt:lpstr>SprDoc__002</vt:lpstr>
      <vt:lpstr>SprDoc__003</vt:lpstr>
      <vt:lpstr>SprDoc__004</vt:lpstr>
      <vt:lpstr>SprDoc__005</vt:lpstr>
      <vt:lpstr>SprDoc__006</vt:lpstr>
      <vt:lpstr>SprDoc__007</vt:lpstr>
      <vt:lpstr>SprDoc__008</vt:lpstr>
      <vt:lpstr>SprDoc__009</vt:lpstr>
      <vt:lpstr>SprDoc__010</vt:lpstr>
      <vt:lpstr>SprDoc__011</vt:lpstr>
      <vt:lpstr>SprDoc__012</vt:lpstr>
      <vt:lpstr>SprDoc__013</vt:lpstr>
      <vt:lpstr>SprDoc__014</vt:lpstr>
      <vt:lpstr>SprDoc__015</vt:lpstr>
      <vt:lpstr>SprDoc__016</vt:lpstr>
      <vt:lpstr>SprDoc__017</vt:lpstr>
      <vt:lpstr>SprDoc__018</vt:lpstr>
      <vt:lpstr>SprDoc__019</vt:lpstr>
      <vt:lpstr>SprDoc__020</vt:lpstr>
      <vt:lpstr>SprDoc__021</vt:lpstr>
      <vt:lpstr>SprDoc__022</vt:lpstr>
      <vt:lpstr>SprDoc__023</vt:lpstr>
      <vt:lpstr>SprDoc__024</vt:lpstr>
      <vt:lpstr>SprDoc__025</vt:lpstr>
      <vt:lpstr>SprDoc__026</vt:lpstr>
      <vt:lpstr>SprDoc__027</vt:lpstr>
      <vt:lpstr>SprDoc__028</vt:lpstr>
      <vt:lpstr>SprDoc__029</vt:lpstr>
      <vt:lpstr>SprDoc__030</vt:lpstr>
      <vt:lpstr>SprDoc__031</vt:lpstr>
      <vt:lpstr>SprDoc__032</vt:lpstr>
      <vt:lpstr>SprDoc__033</vt:lpstr>
      <vt:lpstr>SprDoc__034</vt:lpstr>
      <vt:lpstr>SprDoc__035</vt:lpstr>
      <vt:lpstr>SprDoc__036</vt:lpstr>
      <vt:lpstr>SprDoc__037</vt:lpstr>
      <vt:lpstr>SprDoc__038</vt:lpstr>
      <vt:lpstr>SprDoc__039</vt:lpstr>
      <vt:lpstr>SprDoc__040</vt:lpstr>
      <vt:lpstr>SprDoc__041</vt:lpstr>
      <vt:lpstr>SprDoc__042</vt:lpstr>
      <vt:lpstr>SprDoc__043</vt:lpstr>
      <vt:lpstr>SprDoc__044</vt:lpstr>
      <vt:lpstr>SprDoc__045</vt:lpstr>
      <vt:lpstr>SprDoc__046</vt:lpstr>
      <vt:lpstr>SprDoc__047</vt:lpstr>
      <vt:lpstr>SprDoc__048</vt:lpstr>
      <vt:lpstr>SprDoc__049</vt:lpstr>
      <vt:lpstr>SprDoc__050</vt:lpstr>
      <vt:lpstr>SprDoc__051</vt:lpstr>
      <vt:lpstr>Standard1</vt:lpstr>
      <vt:lpstr>Standard2</vt:lpstr>
      <vt:lpstr>Standard3</vt:lpstr>
      <vt:lpstr>Startspalte1</vt:lpstr>
      <vt:lpstr>Startspalte2</vt:lpstr>
      <vt:lpstr>Startspalte3</vt:lpstr>
      <vt:lpstr>Straße</vt:lpstr>
      <vt:lpstr>Struktur</vt:lpstr>
      <vt:lpstr>StrukturAudit</vt:lpstr>
      <vt:lpstr>StrukturBekannt</vt:lpstr>
      <vt:lpstr>StrukturDaten</vt:lpstr>
      <vt:lpstr>Strukturentscheider</vt:lpstr>
      <vt:lpstr>Strukturwunsch</vt:lpstr>
      <vt:lpstr>Strukturwunsch2</vt:lpstr>
      <vt:lpstr>Strukturwunsch3</vt:lpstr>
      <vt:lpstr>Stufe1Formel</vt:lpstr>
      <vt:lpstr>Stufe1Init</vt:lpstr>
      <vt:lpstr>Stufe1Wunsch</vt:lpstr>
      <vt:lpstr>Tätigkeiten</vt:lpstr>
      <vt:lpstr>Teilbereich</vt:lpstr>
      <vt:lpstr>Telefax</vt:lpstr>
      <vt:lpstr>Telefon</vt:lpstr>
      <vt:lpstr>Titel</vt:lpstr>
      <vt:lpstr>Transfer</vt:lpstr>
      <vt:lpstr>Transfer1</vt:lpstr>
      <vt:lpstr>Transfer2</vt:lpstr>
      <vt:lpstr>Transfer3</vt:lpstr>
      <vt:lpstr>TransferCB</vt:lpstr>
      <vt:lpstr>TransferReZert</vt:lpstr>
      <vt:lpstr>TransferTyp</vt:lpstr>
      <vt:lpstr>Translator1</vt:lpstr>
      <vt:lpstr>Translator2</vt:lpstr>
      <vt:lpstr>Translator3</vt:lpstr>
      <vt:lpstr>Transltr_1</vt:lpstr>
      <vt:lpstr>Transltr_2</vt:lpstr>
      <vt:lpstr>Transltr_3</vt:lpstr>
      <vt:lpstr>Trend</vt:lpstr>
      <vt:lpstr>Ü1</vt:lpstr>
      <vt:lpstr>Ü2</vt:lpstr>
      <vt:lpstr>Ungültig</vt:lpstr>
      <vt:lpstr>UpgradeAudit</vt:lpstr>
      <vt:lpstr>UpgradeJahr</vt:lpstr>
      <vt:lpstr>UpgradeJustification</vt:lpstr>
      <vt:lpstr>UpgradenS</vt:lpstr>
      <vt:lpstr>UpgradeZusatz</vt:lpstr>
      <vt:lpstr>USTID</vt:lpstr>
      <vt:lpstr>Variety_1</vt:lpstr>
      <vt:lpstr>Variety_2</vt:lpstr>
      <vt:lpstr>Variety_3</vt:lpstr>
      <vt:lpstr>Variety1</vt:lpstr>
      <vt:lpstr>Variety2</vt:lpstr>
      <vt:lpstr>Variety3</vt:lpstr>
      <vt:lpstr>Verband</vt:lpstr>
      <vt:lpstr>VerCAR_1</vt:lpstr>
      <vt:lpstr>VerCAR_2</vt:lpstr>
      <vt:lpstr>VerCAR_3</vt:lpstr>
      <vt:lpstr>VerificationCA1</vt:lpstr>
      <vt:lpstr>VerificationCA2</vt:lpstr>
      <vt:lpstr>VerificationCA3</vt:lpstr>
      <vt:lpstr>Daten!Version</vt:lpstr>
      <vt:lpstr>Viele</vt:lpstr>
      <vt:lpstr>Wenige</vt:lpstr>
      <vt:lpstr>Wichtung</vt:lpstr>
      <vt:lpstr>Zentrale</vt:lpstr>
      <vt:lpstr>Zentralfunktion</vt:lpstr>
      <vt:lpstr>Zertifizierung</vt:lpstr>
      <vt:lpstr>ZF</vt:lpstr>
      <vt:lpstr>Zuschlag</vt:lpstr>
      <vt:lpstr>Zuschlag1</vt:lpstr>
      <vt:lpstr>Zuschlag2</vt:lpstr>
      <vt:lpstr>Zuschlag3</vt:lpstr>
      <vt:lpstr>ZuschlagproPunkt</vt:lpstr>
    </vt:vector>
  </TitlesOfParts>
  <Company>TÜV NORD CERT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Kundenfragebogen</dc:title>
  <dc:subject>AQMS</dc:subject>
  <dc:creator>Dr. H. Saalfeld</dc:creator>
  <cp:lastModifiedBy>tuv106</cp:lastModifiedBy>
  <cp:lastPrinted>2016-11-10T11:04:31Z</cp:lastPrinted>
  <dcterms:created xsi:type="dcterms:W3CDTF">2006-11-13T08:18:52Z</dcterms:created>
  <dcterms:modified xsi:type="dcterms:W3CDTF">2021-05-30T17:57:49Z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halt / Content">
    <vt:lpwstr>Kalkulation des Auditaufwands</vt:lpwstr>
  </property>
  <property fmtid="{D5CDD505-2E9C-101B-9397-08002B2CF9AE}" pid="3" name="Standard">
    <vt:lpwstr>;#---;#</vt:lpwstr>
  </property>
  <property fmtid="{D5CDD505-2E9C-101B-9397-08002B2CF9AE}" pid="4" name="Sprache">
    <vt:lpwstr>;#deutsch;#</vt:lpwstr>
  </property>
  <property fmtid="{D5CDD505-2E9C-101B-9397-08002B2CF9AE}" pid="5" name="Revision">
    <vt:lpwstr>06/05.08</vt:lpwstr>
  </property>
  <property fmtid="{D5CDD505-2E9C-101B-9397-08002B2CF9AE}" pid="6" name="ContentType">
    <vt:lpwstr>Dokument</vt:lpwstr>
  </property>
  <property fmtid="{D5CDD505-2E9C-101B-9397-08002B2CF9AE}" pid="7" name="Verschluesselt">
    <vt:lpwstr>22.10.14</vt:lpwstr>
  </property>
  <property fmtid="{D5CDD505-2E9C-101B-9397-08002B2CF9AE}" pid="8" name="ContentTypeId">
    <vt:lpwstr>0x0101001B6C5807B2C37F4A8ABBD9C588F5ADAA</vt:lpwstr>
  </property>
</Properties>
</file>